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BBA300FE-5F33-4DCC-B990-7657BBEF24B5}" xr6:coauthVersionLast="47" xr6:coauthVersionMax="47" xr10:uidLastSave="{00000000-0000-0000-0000-000000000000}"/>
  <bookViews>
    <workbookView xWindow="-108" yWindow="-108" windowWidth="23256" windowHeight="12576" xr2:uid="{BC57214B-6D1E-4DF8-A988-551BCCA36A09}"/>
  </bookViews>
  <sheets>
    <sheet name="Arrear" sheetId="5" r:id="rId1"/>
    <sheet name="ROPA-09" sheetId="3" r:id="rId2"/>
    <sheet name="ROPA-19" sheetId="4" state="hidden" r:id="rId3"/>
  </sheets>
  <definedNames>
    <definedName name="_xlnm.Print_Titles" localSheetId="1">'ROPA-09'!$1:$1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5" l="1"/>
  <c r="A3" i="5"/>
  <c r="C2" i="5"/>
  <c r="B7" i="5"/>
  <c r="B6" i="5"/>
  <c r="O7" i="3"/>
  <c r="M2" i="3"/>
  <c r="C7" i="5" l="1"/>
  <c r="O31" i="3"/>
  <c r="C6" i="5"/>
  <c r="O12" i="3"/>
  <c r="AM2" i="3" l="1"/>
  <c r="O15" i="3"/>
  <c r="O19" i="3" s="1"/>
  <c r="O35" i="3"/>
  <c r="O8" i="3"/>
  <c r="AF3" i="3"/>
  <c r="AE3" i="3" s="1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3" i="3"/>
  <c r="AJ3" i="3" s="1"/>
  <c r="AD3" i="3"/>
  <c r="T3" i="4"/>
  <c r="E3" i="4"/>
  <c r="C3" i="4"/>
  <c r="R3" i="4" s="1"/>
  <c r="S3" i="4" s="1"/>
  <c r="Q58" i="4"/>
  <c r="Q59" i="4" s="1"/>
  <c r="Q60" i="4" s="1"/>
  <c r="Q61" i="4" s="1"/>
  <c r="Q62" i="4" s="1"/>
  <c r="Q63" i="4" s="1"/>
  <c r="Q64" i="4" s="1"/>
  <c r="Q65" i="4" s="1"/>
  <c r="Q66" i="4" s="1"/>
  <c r="Q67" i="4" s="1"/>
  <c r="Q68" i="4" s="1"/>
  <c r="Q69" i="4" s="1"/>
  <c r="Q70" i="4" s="1"/>
  <c r="Q71" i="4" s="1"/>
  <c r="Q72" i="4" s="1"/>
  <c r="Q73" i="4" s="1"/>
  <c r="Q74" i="4" s="1"/>
  <c r="Q52" i="4"/>
  <c r="Q53" i="4" s="1"/>
  <c r="Q54" i="4" s="1"/>
  <c r="Q55" i="4" s="1"/>
  <c r="Q56" i="4" s="1"/>
  <c r="Q46" i="4"/>
  <c r="Q47" i="4" s="1"/>
  <c r="Q48" i="4" s="1"/>
  <c r="Q49" i="4" s="1"/>
  <c r="Q50" i="4" s="1"/>
  <c r="Q40" i="4"/>
  <c r="Q41" i="4" s="1"/>
  <c r="Q42" i="4" s="1"/>
  <c r="Q43" i="4" s="1"/>
  <c r="Q44" i="4" s="1"/>
  <c r="Q34" i="4"/>
  <c r="Q35" i="4" s="1"/>
  <c r="Q36" i="4" s="1"/>
  <c r="Q37" i="4" s="1"/>
  <c r="Q38" i="4" s="1"/>
  <c r="Q28" i="4"/>
  <c r="Q29" i="4" s="1"/>
  <c r="Q30" i="4" s="1"/>
  <c r="Q31" i="4" s="1"/>
  <c r="Q32" i="4" s="1"/>
  <c r="Q22" i="4"/>
  <c r="Q23" i="4" s="1"/>
  <c r="Q24" i="4" s="1"/>
  <c r="Q25" i="4" s="1"/>
  <c r="Q26" i="4" s="1"/>
  <c r="Q4" i="4"/>
  <c r="Q5" i="4" s="1"/>
  <c r="Q6" i="4" s="1"/>
  <c r="Q7" i="4" s="1"/>
  <c r="Q8" i="4" s="1"/>
  <c r="Q9" i="4" s="1"/>
  <c r="U74" i="4"/>
  <c r="F74" i="4"/>
  <c r="U73" i="4"/>
  <c r="F73" i="4"/>
  <c r="U72" i="4"/>
  <c r="F72" i="4"/>
  <c r="U71" i="4"/>
  <c r="F71" i="4"/>
  <c r="U70" i="4"/>
  <c r="F70" i="4"/>
  <c r="U69" i="4"/>
  <c r="F69" i="4"/>
  <c r="U68" i="4"/>
  <c r="F68" i="4"/>
  <c r="U67" i="4"/>
  <c r="F67" i="4"/>
  <c r="U66" i="4"/>
  <c r="F66" i="4"/>
  <c r="U65" i="4"/>
  <c r="F65" i="4"/>
  <c r="U64" i="4"/>
  <c r="F64" i="4"/>
  <c r="U63" i="4"/>
  <c r="F63" i="4"/>
  <c r="U62" i="4"/>
  <c r="F62" i="4"/>
  <c r="U61" i="4"/>
  <c r="F61" i="4"/>
  <c r="U60" i="4"/>
  <c r="F60" i="4"/>
  <c r="U59" i="4"/>
  <c r="F59" i="4"/>
  <c r="U58" i="4"/>
  <c r="F58" i="4"/>
  <c r="U57" i="4"/>
  <c r="F57" i="4"/>
  <c r="U56" i="4"/>
  <c r="F56" i="4"/>
  <c r="U55" i="4"/>
  <c r="F55" i="4"/>
  <c r="U54" i="4"/>
  <c r="F54" i="4"/>
  <c r="U53" i="4"/>
  <c r="F53" i="4"/>
  <c r="U52" i="4"/>
  <c r="F52" i="4"/>
  <c r="U51" i="4"/>
  <c r="F51" i="4"/>
  <c r="U50" i="4"/>
  <c r="F50" i="4"/>
  <c r="U49" i="4"/>
  <c r="F49" i="4"/>
  <c r="U48" i="4"/>
  <c r="F48" i="4"/>
  <c r="U47" i="4"/>
  <c r="F47" i="4"/>
  <c r="U46" i="4"/>
  <c r="F46" i="4"/>
  <c r="U45" i="4"/>
  <c r="F45" i="4"/>
  <c r="U44" i="4"/>
  <c r="F44" i="4"/>
  <c r="U43" i="4"/>
  <c r="F43" i="4"/>
  <c r="U42" i="4"/>
  <c r="F42" i="4"/>
  <c r="U41" i="4"/>
  <c r="F41" i="4"/>
  <c r="U40" i="4"/>
  <c r="F40" i="4"/>
  <c r="U39" i="4"/>
  <c r="F39" i="4"/>
  <c r="U38" i="4"/>
  <c r="F38" i="4"/>
  <c r="U37" i="4"/>
  <c r="F37" i="4"/>
  <c r="U36" i="4"/>
  <c r="F36" i="4"/>
  <c r="U35" i="4"/>
  <c r="F35" i="4"/>
  <c r="U34" i="4"/>
  <c r="F34" i="4"/>
  <c r="U33" i="4"/>
  <c r="F33" i="4"/>
  <c r="U32" i="4"/>
  <c r="F32" i="4"/>
  <c r="U31" i="4"/>
  <c r="F31" i="4"/>
  <c r="U30" i="4"/>
  <c r="F30" i="4"/>
  <c r="U29" i="4"/>
  <c r="F29" i="4"/>
  <c r="U28" i="4"/>
  <c r="F28" i="4"/>
  <c r="U27" i="4"/>
  <c r="F27" i="4"/>
  <c r="U26" i="4"/>
  <c r="F26" i="4"/>
  <c r="U25" i="4"/>
  <c r="F25" i="4"/>
  <c r="U24" i="4"/>
  <c r="F24" i="4"/>
  <c r="U23" i="4"/>
  <c r="F23" i="4"/>
  <c r="U22" i="4"/>
  <c r="F22" i="4"/>
  <c r="U21" i="4"/>
  <c r="F21" i="4"/>
  <c r="U20" i="4"/>
  <c r="F20" i="4"/>
  <c r="U19" i="4"/>
  <c r="F19" i="4"/>
  <c r="U18" i="4"/>
  <c r="F18" i="4"/>
  <c r="U17" i="4"/>
  <c r="F17" i="4"/>
  <c r="U16" i="4"/>
  <c r="F16" i="4"/>
  <c r="U15" i="4"/>
  <c r="F15" i="4"/>
  <c r="U14" i="4"/>
  <c r="F14" i="4"/>
  <c r="U13" i="4"/>
  <c r="F13" i="4"/>
  <c r="U12" i="4"/>
  <c r="F12" i="4"/>
  <c r="U11" i="4"/>
  <c r="F11" i="4"/>
  <c r="U10" i="4"/>
  <c r="F10" i="4"/>
  <c r="U9" i="4"/>
  <c r="F9" i="4"/>
  <c r="U8" i="4"/>
  <c r="F8" i="4"/>
  <c r="U7" i="4"/>
  <c r="F7" i="4"/>
  <c r="U6" i="4"/>
  <c r="F6" i="4"/>
  <c r="U5" i="4"/>
  <c r="F5" i="4"/>
  <c r="U4" i="4"/>
  <c r="F4" i="4"/>
  <c r="D4" i="4"/>
  <c r="C4" i="4"/>
  <c r="E4" i="4" s="1"/>
  <c r="U3" i="4"/>
  <c r="F3" i="4"/>
  <c r="D3" i="4"/>
  <c r="Q139" i="3"/>
  <c r="Q140" i="3" s="1"/>
  <c r="Q141" i="3" s="1"/>
  <c r="Q142" i="3" s="1"/>
  <c r="Q143" i="3" s="1"/>
  <c r="Q133" i="3"/>
  <c r="Q134" i="3" s="1"/>
  <c r="Q135" i="3" s="1"/>
  <c r="Q136" i="3" s="1"/>
  <c r="Q137" i="3" s="1"/>
  <c r="Q127" i="3"/>
  <c r="Q128" i="3" s="1"/>
  <c r="Q129" i="3" s="1"/>
  <c r="Q130" i="3" s="1"/>
  <c r="Q131" i="3" s="1"/>
  <c r="Q121" i="3"/>
  <c r="Q122" i="3" s="1"/>
  <c r="Q123" i="3" s="1"/>
  <c r="Q124" i="3" s="1"/>
  <c r="Q125" i="3" s="1"/>
  <c r="Q115" i="3"/>
  <c r="Q116" i="3" s="1"/>
  <c r="Q117" i="3" s="1"/>
  <c r="Q109" i="3"/>
  <c r="Q110" i="3" s="1"/>
  <c r="Q111" i="3" s="1"/>
  <c r="Q112" i="3" s="1"/>
  <c r="Q113" i="3" s="1"/>
  <c r="Q103" i="3"/>
  <c r="Q104" i="3" s="1"/>
  <c r="Q105" i="3" s="1"/>
  <c r="Q106" i="3" s="1"/>
  <c r="Q107" i="3" s="1"/>
  <c r="Q97" i="3"/>
  <c r="Q98" i="3" s="1"/>
  <c r="Q99" i="3" s="1"/>
  <c r="Q100" i="3" s="1"/>
  <c r="Q101" i="3" s="1"/>
  <c r="Q91" i="3"/>
  <c r="Q92" i="3" s="1"/>
  <c r="Q93" i="3" s="1"/>
  <c r="Q94" i="3" s="1"/>
  <c r="Q95" i="3" s="1"/>
  <c r="Q85" i="3"/>
  <c r="Q86" i="3" s="1"/>
  <c r="Q87" i="3" s="1"/>
  <c r="Q88" i="3" s="1"/>
  <c r="Q89" i="3" s="1"/>
  <c r="Q79" i="3"/>
  <c r="Q80" i="3" s="1"/>
  <c r="Q81" i="3" s="1"/>
  <c r="Q82" i="3" s="1"/>
  <c r="Q83" i="3" s="1"/>
  <c r="Q73" i="3"/>
  <c r="Q74" i="3" s="1"/>
  <c r="Q75" i="3" s="1"/>
  <c r="Q76" i="3" s="1"/>
  <c r="Q77" i="3" s="1"/>
  <c r="Q67" i="3"/>
  <c r="Q68" i="3" s="1"/>
  <c r="Q69" i="3" s="1"/>
  <c r="Q70" i="3" s="1"/>
  <c r="Q71" i="3" s="1"/>
  <c r="Q61" i="3"/>
  <c r="Q62" i="3" s="1"/>
  <c r="Q63" i="3" s="1"/>
  <c r="Q64" i="3" s="1"/>
  <c r="Q65" i="3" s="1"/>
  <c r="Q55" i="3"/>
  <c r="Q56" i="3" s="1"/>
  <c r="Q57" i="3" s="1"/>
  <c r="Q58" i="3" s="1"/>
  <c r="Q59" i="3" s="1"/>
  <c r="Q49" i="3"/>
  <c r="Q50" i="3" s="1"/>
  <c r="Q51" i="3" s="1"/>
  <c r="Q52" i="3" s="1"/>
  <c r="Q53" i="3" s="1"/>
  <c r="Q43" i="3"/>
  <c r="Q44" i="3" s="1"/>
  <c r="Q45" i="3" s="1"/>
  <c r="Q46" i="3" s="1"/>
  <c r="Q47" i="3" s="1"/>
  <c r="Q37" i="3"/>
  <c r="Q38" i="3" s="1"/>
  <c r="Q39" i="3" s="1"/>
  <c r="Q40" i="3" s="1"/>
  <c r="Q41" i="3" s="1"/>
  <c r="Q31" i="3"/>
  <c r="Q32" i="3" s="1"/>
  <c r="Q33" i="3" s="1"/>
  <c r="Q34" i="3" s="1"/>
  <c r="Q35" i="3" s="1"/>
  <c r="Q25" i="3"/>
  <c r="Q26" i="3" s="1"/>
  <c r="Q27" i="3" s="1"/>
  <c r="Q28" i="3" s="1"/>
  <c r="Q29" i="3" s="1"/>
  <c r="Q19" i="3"/>
  <c r="Q20" i="3" s="1"/>
  <c r="Q21" i="3" s="1"/>
  <c r="Q22" i="3" s="1"/>
  <c r="Q23" i="3" s="1"/>
  <c r="Q13" i="3"/>
  <c r="Q14" i="3" s="1"/>
  <c r="Q15" i="3" s="1"/>
  <c r="Q16" i="3" s="1"/>
  <c r="Q17" i="3" s="1"/>
  <c r="AJ4" i="3" l="1"/>
  <c r="AK3" i="3"/>
  <c r="AK4" i="3" s="1"/>
  <c r="AL4" i="3" s="1"/>
  <c r="O22" i="3"/>
  <c r="O20" i="3"/>
  <c r="O21" i="3" s="1"/>
  <c r="AH3" i="3"/>
  <c r="AI3" i="3" s="1"/>
  <c r="AD4" i="3"/>
  <c r="AD5" i="3" s="1"/>
  <c r="AD6" i="3"/>
  <c r="AD7" i="3" s="1"/>
  <c r="AD8" i="3" s="1"/>
  <c r="AD9" i="3" s="1"/>
  <c r="AF4" i="3"/>
  <c r="AH4" i="3" s="1"/>
  <c r="AJ5" i="3"/>
  <c r="AJ6" i="3" s="1"/>
  <c r="W3" i="4"/>
  <c r="C9" i="4"/>
  <c r="E9" i="4" s="1"/>
  <c r="H4" i="4"/>
  <c r="I4" i="4" s="1"/>
  <c r="L4" i="4" s="1"/>
  <c r="C5" i="4"/>
  <c r="R4" i="4"/>
  <c r="Q10" i="4"/>
  <c r="Q118" i="3"/>
  <c r="Q119" i="3" s="1"/>
  <c r="X3" i="4"/>
  <c r="AA3" i="4" s="1"/>
  <c r="H3" i="4"/>
  <c r="AM3" i="3" l="1"/>
  <c r="AM4" i="3"/>
  <c r="AJ7" i="3"/>
  <c r="AJ8" i="3" s="1"/>
  <c r="AJ9" i="3" s="1"/>
  <c r="AJ10" i="3" s="1"/>
  <c r="AJ11" i="3" s="1"/>
  <c r="AJ12" i="3" s="1"/>
  <c r="AJ13" i="3" s="1"/>
  <c r="AJ14" i="3" s="1"/>
  <c r="AJ15" i="3" s="1"/>
  <c r="AJ16" i="3" s="1"/>
  <c r="AJ17" i="3" s="1"/>
  <c r="AJ18" i="3" s="1"/>
  <c r="AJ19" i="3" s="1"/>
  <c r="AJ20" i="3" s="1"/>
  <c r="AJ21" i="3" s="1"/>
  <c r="AJ22" i="3" s="1"/>
  <c r="AJ23" i="3" s="1"/>
  <c r="AJ24" i="3" s="1"/>
  <c r="AJ25" i="3" s="1"/>
  <c r="AJ26" i="3" s="1"/>
  <c r="AJ27" i="3" s="1"/>
  <c r="AJ28" i="3" s="1"/>
  <c r="AJ29" i="3" s="1"/>
  <c r="AJ30" i="3" s="1"/>
  <c r="AJ31" i="3" s="1"/>
  <c r="AJ32" i="3" s="1"/>
  <c r="AJ33" i="3" s="1"/>
  <c r="AJ34" i="3" s="1"/>
  <c r="AJ35" i="3" s="1"/>
  <c r="AJ36" i="3" s="1"/>
  <c r="AJ37" i="3" s="1"/>
  <c r="AJ38" i="3" s="1"/>
  <c r="AJ39" i="3" s="1"/>
  <c r="AJ40" i="3" s="1"/>
  <c r="AJ41" i="3" s="1"/>
  <c r="AK5" i="3"/>
  <c r="AK6" i="3" s="1"/>
  <c r="AE4" i="3"/>
  <c r="AD10" i="3"/>
  <c r="AD11" i="3" s="1"/>
  <c r="AD12" i="3" s="1"/>
  <c r="AD13" i="3" s="1"/>
  <c r="AD14" i="3" s="1"/>
  <c r="AD15" i="3" s="1"/>
  <c r="AD16" i="3" s="1"/>
  <c r="AD17" i="3" s="1"/>
  <c r="AF5" i="3"/>
  <c r="AD18" i="3"/>
  <c r="AD19" i="3" s="1"/>
  <c r="R5" i="4"/>
  <c r="T5" i="4" s="1"/>
  <c r="E5" i="4"/>
  <c r="S4" i="4"/>
  <c r="T4" i="4"/>
  <c r="D5" i="4"/>
  <c r="H5" i="4" s="1"/>
  <c r="C6" i="4"/>
  <c r="R9" i="4"/>
  <c r="C21" i="4"/>
  <c r="E21" i="4" s="1"/>
  <c r="C10" i="4"/>
  <c r="E10" i="4" s="1"/>
  <c r="D9" i="4"/>
  <c r="H9" i="4" s="1"/>
  <c r="Q11" i="4"/>
  <c r="I3" i="4"/>
  <c r="L3" i="4" s="1"/>
  <c r="N3" i="4" s="1"/>
  <c r="C7" i="4"/>
  <c r="D6" i="4"/>
  <c r="S5" i="4"/>
  <c r="W5" i="4" s="1"/>
  <c r="I5" i="4"/>
  <c r="L5" i="4" s="1"/>
  <c r="AE5" i="3" l="1"/>
  <c r="AM5" i="3"/>
  <c r="AL5" i="3"/>
  <c r="AJ42" i="3"/>
  <c r="AJ43" i="3" s="1"/>
  <c r="AJ44" i="3" s="1"/>
  <c r="AJ45" i="3" s="1"/>
  <c r="AJ46" i="3" s="1"/>
  <c r="AJ47" i="3" s="1"/>
  <c r="AJ48" i="3" s="1"/>
  <c r="AJ49" i="3" s="1"/>
  <c r="AJ50" i="3" s="1"/>
  <c r="AJ51" i="3" s="1"/>
  <c r="AJ52" i="3" s="1"/>
  <c r="AJ53" i="3" s="1"/>
  <c r="AH5" i="3"/>
  <c r="AG6" i="3" s="1"/>
  <c r="AG7" i="3" s="1"/>
  <c r="AG8" i="3" s="1"/>
  <c r="AG9" i="3" s="1"/>
  <c r="AG10" i="3" s="1"/>
  <c r="AG11" i="3" s="1"/>
  <c r="AG12" i="3" s="1"/>
  <c r="AG13" i="3" s="1"/>
  <c r="AG14" i="3" s="1"/>
  <c r="AG15" i="3" s="1"/>
  <c r="AG16" i="3" s="1"/>
  <c r="AG17" i="3" s="1"/>
  <c r="AD30" i="3"/>
  <c r="AD42" i="3" s="1"/>
  <c r="AD20" i="3"/>
  <c r="R7" i="4"/>
  <c r="T7" i="4" s="1"/>
  <c r="E7" i="4"/>
  <c r="S9" i="4"/>
  <c r="T9" i="4"/>
  <c r="W4" i="4"/>
  <c r="X4" i="4" s="1"/>
  <c r="AA4" i="4" s="1"/>
  <c r="N4" i="4" s="1"/>
  <c r="R6" i="4"/>
  <c r="T6" i="4" s="1"/>
  <c r="E6" i="4"/>
  <c r="H6" i="4" s="1"/>
  <c r="I6" i="4" s="1"/>
  <c r="L6" i="4" s="1"/>
  <c r="R21" i="4"/>
  <c r="T21" i="4" s="1"/>
  <c r="C22" i="4"/>
  <c r="E22" i="4" s="1"/>
  <c r="C33" i="4"/>
  <c r="E33" i="4" s="1"/>
  <c r="D21" i="4"/>
  <c r="H21" i="4" s="1"/>
  <c r="I21" i="4" s="1"/>
  <c r="L21" i="4" s="1"/>
  <c r="I9" i="4"/>
  <c r="L9" i="4" s="1"/>
  <c r="R10" i="4"/>
  <c r="D10" i="4"/>
  <c r="H10" i="4"/>
  <c r="I10" i="4" s="1"/>
  <c r="L10" i="4" s="1"/>
  <c r="C11" i="4"/>
  <c r="E11" i="4" s="1"/>
  <c r="Q12" i="4"/>
  <c r="X5" i="4"/>
  <c r="AA5" i="4" s="1"/>
  <c r="N5" i="4" s="1"/>
  <c r="S6" i="4"/>
  <c r="W6" i="4" s="1"/>
  <c r="C8" i="4"/>
  <c r="D7" i="4"/>
  <c r="H7" i="4" s="1"/>
  <c r="AK7" i="3" l="1"/>
  <c r="AL6" i="3"/>
  <c r="AJ54" i="3"/>
  <c r="AJ55" i="3" s="1"/>
  <c r="AJ56" i="3" s="1"/>
  <c r="AJ57" i="3" s="1"/>
  <c r="AJ58" i="3" s="1"/>
  <c r="AJ59" i="3" s="1"/>
  <c r="AJ60" i="3" s="1"/>
  <c r="AJ61" i="3" s="1"/>
  <c r="AJ62" i="3" s="1"/>
  <c r="AJ63" i="3" s="1"/>
  <c r="AJ64" i="3" s="1"/>
  <c r="AJ65" i="3" s="1"/>
  <c r="AD31" i="3"/>
  <c r="AD32" i="3" s="1"/>
  <c r="AD21" i="3"/>
  <c r="AD43" i="3"/>
  <c r="AD54" i="3"/>
  <c r="W9" i="4"/>
  <c r="R8" i="4"/>
  <c r="T8" i="4" s="1"/>
  <c r="E8" i="4"/>
  <c r="S10" i="4"/>
  <c r="W10" i="4" s="1"/>
  <c r="X10" i="4" s="1"/>
  <c r="AA10" i="4" s="1"/>
  <c r="N10" i="4" s="1"/>
  <c r="T10" i="4"/>
  <c r="R11" i="4"/>
  <c r="D11" i="4"/>
  <c r="H11" i="4"/>
  <c r="I11" i="4" s="1"/>
  <c r="L11" i="4" s="1"/>
  <c r="C12" i="4"/>
  <c r="E12" i="4" s="1"/>
  <c r="R22" i="4"/>
  <c r="D22" i="4"/>
  <c r="H22" i="4" s="1"/>
  <c r="I22" i="4" s="1"/>
  <c r="L22" i="4" s="1"/>
  <c r="C23" i="4"/>
  <c r="E23" i="4" s="1"/>
  <c r="R33" i="4"/>
  <c r="C34" i="4"/>
  <c r="E34" i="4" s="1"/>
  <c r="C45" i="4"/>
  <c r="E45" i="4" s="1"/>
  <c r="D33" i="4"/>
  <c r="H33" i="4" s="1"/>
  <c r="I33" i="4" s="1"/>
  <c r="L33" i="4" s="1"/>
  <c r="S21" i="4"/>
  <c r="W21" i="4" s="1"/>
  <c r="X21" i="4" s="1"/>
  <c r="AA21" i="4" s="1"/>
  <c r="N21" i="4" s="1"/>
  <c r="Q13" i="4"/>
  <c r="I7" i="4"/>
  <c r="L7" i="4" s="1"/>
  <c r="X6" i="4"/>
  <c r="AA6" i="4" s="1"/>
  <c r="N6" i="4" s="1"/>
  <c r="S7" i="4"/>
  <c r="W7" i="4" s="1"/>
  <c r="D8" i="4"/>
  <c r="H8" i="4" s="1"/>
  <c r="AK8" i="3" l="1"/>
  <c r="AL7" i="3"/>
  <c r="AJ66" i="3"/>
  <c r="AJ67" i="3" s="1"/>
  <c r="AJ68" i="3" s="1"/>
  <c r="AJ69" i="3" s="1"/>
  <c r="AJ70" i="3" s="1"/>
  <c r="AJ71" i="3" s="1"/>
  <c r="AJ72" i="3" s="1"/>
  <c r="AJ73" i="3" s="1"/>
  <c r="AJ74" i="3" s="1"/>
  <c r="AJ75" i="3" s="1"/>
  <c r="AJ76" i="3" s="1"/>
  <c r="AJ77" i="3" s="1"/>
  <c r="AD22" i="3"/>
  <c r="AD44" i="3"/>
  <c r="AD33" i="3"/>
  <c r="AD55" i="3"/>
  <c r="AD66" i="3"/>
  <c r="S22" i="4"/>
  <c r="W22" i="4" s="1"/>
  <c r="X22" i="4" s="1"/>
  <c r="AA22" i="4" s="1"/>
  <c r="T22" i="4"/>
  <c r="S33" i="4"/>
  <c r="T33" i="4"/>
  <c r="S11" i="4"/>
  <c r="W11" i="4" s="1"/>
  <c r="X11" i="4" s="1"/>
  <c r="AA11" i="4" s="1"/>
  <c r="T11" i="4"/>
  <c r="X9" i="4"/>
  <c r="AA9" i="4"/>
  <c r="N9" i="4" s="1"/>
  <c r="N11" i="4"/>
  <c r="R12" i="4"/>
  <c r="D12" i="4"/>
  <c r="H12" i="4" s="1"/>
  <c r="I12" i="4" s="1"/>
  <c r="L12" i="4" s="1"/>
  <c r="C13" i="4"/>
  <c r="E13" i="4" s="1"/>
  <c r="R45" i="4"/>
  <c r="D45" i="4"/>
  <c r="C46" i="4"/>
  <c r="E46" i="4" s="1"/>
  <c r="H45" i="4"/>
  <c r="I45" i="4" s="1"/>
  <c r="L45" i="4" s="1"/>
  <c r="C57" i="4"/>
  <c r="E57" i="4" s="1"/>
  <c r="N22" i="4"/>
  <c r="R23" i="4"/>
  <c r="D23" i="4"/>
  <c r="H23" i="4" s="1"/>
  <c r="I23" i="4" s="1"/>
  <c r="L23" i="4" s="1"/>
  <c r="C24" i="4"/>
  <c r="E24" i="4" s="1"/>
  <c r="R34" i="4"/>
  <c r="D34" i="4"/>
  <c r="H34" i="4" s="1"/>
  <c r="I34" i="4" s="1"/>
  <c r="L34" i="4" s="1"/>
  <c r="C35" i="4"/>
  <c r="E35" i="4" s="1"/>
  <c r="Q14" i="4"/>
  <c r="X7" i="4"/>
  <c r="AA7" i="4" s="1"/>
  <c r="N7" i="4" s="1"/>
  <c r="I8" i="4"/>
  <c r="L8" i="4" s="1"/>
  <c r="S8" i="4"/>
  <c r="W8" i="4" s="1"/>
  <c r="AK9" i="3" l="1"/>
  <c r="AL8" i="3"/>
  <c r="AJ78" i="3"/>
  <c r="AJ79" i="3" s="1"/>
  <c r="AJ80" i="3" s="1"/>
  <c r="AJ81" i="3" s="1"/>
  <c r="AJ82" i="3" s="1"/>
  <c r="AJ83" i="3" s="1"/>
  <c r="AJ84" i="3" s="1"/>
  <c r="AJ85" i="3" s="1"/>
  <c r="AJ86" i="3" s="1"/>
  <c r="AJ87" i="3" s="1"/>
  <c r="AJ88" i="3" s="1"/>
  <c r="AJ89" i="3" s="1"/>
  <c r="AD23" i="3"/>
  <c r="AD56" i="3"/>
  <c r="AD45" i="3"/>
  <c r="AD34" i="3"/>
  <c r="AD67" i="3"/>
  <c r="AD78" i="3"/>
  <c r="S34" i="4"/>
  <c r="T34" i="4"/>
  <c r="S12" i="4"/>
  <c r="T12" i="4"/>
  <c r="W33" i="4"/>
  <c r="X33" i="4" s="1"/>
  <c r="AA33" i="4" s="1"/>
  <c r="N33" i="4" s="1"/>
  <c r="S23" i="4"/>
  <c r="T23" i="4"/>
  <c r="S45" i="4"/>
  <c r="W45" i="4" s="1"/>
  <c r="X45" i="4" s="1"/>
  <c r="AA45" i="4" s="1"/>
  <c r="T45" i="4"/>
  <c r="N45" i="4"/>
  <c r="R24" i="4"/>
  <c r="D24" i="4"/>
  <c r="H24" i="4" s="1"/>
  <c r="I24" i="4" s="1"/>
  <c r="L24" i="4" s="1"/>
  <c r="C25" i="4"/>
  <c r="E25" i="4" s="1"/>
  <c r="R57" i="4"/>
  <c r="C69" i="4"/>
  <c r="E69" i="4" s="1"/>
  <c r="D57" i="4"/>
  <c r="H57" i="4" s="1"/>
  <c r="C58" i="4"/>
  <c r="E58" i="4" s="1"/>
  <c r="R35" i="4"/>
  <c r="C36" i="4"/>
  <c r="E36" i="4" s="1"/>
  <c r="D35" i="4"/>
  <c r="H35" i="4" s="1"/>
  <c r="R46" i="4"/>
  <c r="D46" i="4"/>
  <c r="H46" i="4" s="1"/>
  <c r="I46" i="4" s="1"/>
  <c r="L46" i="4" s="1"/>
  <c r="C47" i="4"/>
  <c r="E47" i="4" s="1"/>
  <c r="R13" i="4"/>
  <c r="D13" i="4"/>
  <c r="H13" i="4" s="1"/>
  <c r="I13" i="4" s="1"/>
  <c r="L13" i="4" s="1"/>
  <c r="C14" i="4"/>
  <c r="E14" i="4" s="1"/>
  <c r="Q15" i="4"/>
  <c r="X8" i="4"/>
  <c r="AA8" i="4" s="1"/>
  <c r="N8" i="4" s="1"/>
  <c r="AK10" i="3" l="1"/>
  <c r="AL9" i="3"/>
  <c r="AJ90" i="3"/>
  <c r="AJ91" i="3" s="1"/>
  <c r="AJ92" i="3" s="1"/>
  <c r="AJ93" i="3" s="1"/>
  <c r="AJ94" i="3" s="1"/>
  <c r="AJ95" i="3" s="1"/>
  <c r="AJ96" i="3" s="1"/>
  <c r="AJ97" i="3" s="1"/>
  <c r="AJ98" i="3" s="1"/>
  <c r="AJ99" i="3" s="1"/>
  <c r="AJ100" i="3" s="1"/>
  <c r="AJ101" i="3" s="1"/>
  <c r="AD68" i="3"/>
  <c r="AD35" i="3"/>
  <c r="AD57" i="3"/>
  <c r="AD46" i="3"/>
  <c r="AD24" i="3"/>
  <c r="AD79" i="3"/>
  <c r="AD90" i="3"/>
  <c r="S13" i="4"/>
  <c r="W13" i="4" s="1"/>
  <c r="X13" i="4" s="1"/>
  <c r="AA13" i="4" s="1"/>
  <c r="N13" i="4" s="1"/>
  <c r="T13" i="4"/>
  <c r="W23" i="4"/>
  <c r="X23" i="4" s="1"/>
  <c r="AA23" i="4" s="1"/>
  <c r="N23" i="4" s="1"/>
  <c r="W12" i="4"/>
  <c r="X12" i="4" s="1"/>
  <c r="AA12" i="4" s="1"/>
  <c r="N12" i="4" s="1"/>
  <c r="S46" i="4"/>
  <c r="W46" i="4" s="1"/>
  <c r="X46" i="4" s="1"/>
  <c r="AA46" i="4" s="1"/>
  <c r="N46" i="4" s="1"/>
  <c r="T46" i="4"/>
  <c r="S24" i="4"/>
  <c r="T24" i="4"/>
  <c r="S35" i="4"/>
  <c r="W35" i="4" s="1"/>
  <c r="X35" i="4" s="1"/>
  <c r="AA35" i="4" s="1"/>
  <c r="T35" i="4"/>
  <c r="S57" i="4"/>
  <c r="T57" i="4"/>
  <c r="W34" i="4"/>
  <c r="X34" i="4" s="1"/>
  <c r="AA34" i="4" s="1"/>
  <c r="N34" i="4" s="1"/>
  <c r="R25" i="4"/>
  <c r="D25" i="4"/>
  <c r="H25" i="4" s="1"/>
  <c r="I25" i="4" s="1"/>
  <c r="L25" i="4" s="1"/>
  <c r="C26" i="4"/>
  <c r="E26" i="4" s="1"/>
  <c r="I35" i="4"/>
  <c r="L35" i="4" s="1"/>
  <c r="I57" i="4"/>
  <c r="L57" i="4" s="1"/>
  <c r="R14" i="4"/>
  <c r="C15" i="4"/>
  <c r="E15" i="4" s="1"/>
  <c r="D14" i="4"/>
  <c r="H14" i="4" s="1"/>
  <c r="I14" i="4" s="1"/>
  <c r="L14" i="4" s="1"/>
  <c r="R58" i="4"/>
  <c r="D58" i="4"/>
  <c r="H58" i="4" s="1"/>
  <c r="I58" i="4" s="1"/>
  <c r="L58" i="4" s="1"/>
  <c r="C59" i="4"/>
  <c r="E59" i="4" s="1"/>
  <c r="R47" i="4"/>
  <c r="D47" i="4"/>
  <c r="H47" i="4" s="1"/>
  <c r="I47" i="4" s="1"/>
  <c r="L47" i="4" s="1"/>
  <c r="C48" i="4"/>
  <c r="E48" i="4" s="1"/>
  <c r="R36" i="4"/>
  <c r="D36" i="4"/>
  <c r="H36" i="4" s="1"/>
  <c r="I36" i="4" s="1"/>
  <c r="L36" i="4" s="1"/>
  <c r="C37" i="4"/>
  <c r="E37" i="4" s="1"/>
  <c r="R69" i="4"/>
  <c r="D69" i="4"/>
  <c r="H69" i="4" s="1"/>
  <c r="I69" i="4" s="1"/>
  <c r="L69" i="4" s="1"/>
  <c r="C70" i="4"/>
  <c r="E70" i="4" s="1"/>
  <c r="Q16" i="4"/>
  <c r="AK11" i="3" l="1"/>
  <c r="AL10" i="3"/>
  <c r="AJ102" i="3"/>
  <c r="AJ103" i="3" s="1"/>
  <c r="AJ104" i="3" s="1"/>
  <c r="AJ105" i="3" s="1"/>
  <c r="AJ106" i="3" s="1"/>
  <c r="AJ107" i="3" s="1"/>
  <c r="AJ108" i="3" s="1"/>
  <c r="AJ109" i="3" s="1"/>
  <c r="AJ110" i="3" s="1"/>
  <c r="AJ111" i="3" s="1"/>
  <c r="AJ112" i="3" s="1"/>
  <c r="AJ113" i="3" s="1"/>
  <c r="AD80" i="3"/>
  <c r="AD47" i="3"/>
  <c r="AD36" i="3"/>
  <c r="AD25" i="3"/>
  <c r="AD58" i="3"/>
  <c r="AD69" i="3"/>
  <c r="AD91" i="3"/>
  <c r="AD102" i="3"/>
  <c r="S69" i="4"/>
  <c r="W69" i="4" s="1"/>
  <c r="X69" i="4" s="1"/>
  <c r="AA69" i="4" s="1"/>
  <c r="T69" i="4"/>
  <c r="S36" i="4"/>
  <c r="T36" i="4"/>
  <c r="N35" i="4"/>
  <c r="S25" i="4"/>
  <c r="T25" i="4"/>
  <c r="W57" i="4"/>
  <c r="X57" i="4" s="1"/>
  <c r="AA57" i="4" s="1"/>
  <c r="N57" i="4" s="1"/>
  <c r="W24" i="4"/>
  <c r="X24" i="4" s="1"/>
  <c r="AA24" i="4" s="1"/>
  <c r="N24" i="4" s="1"/>
  <c r="S14" i="4"/>
  <c r="T14" i="4"/>
  <c r="S47" i="4"/>
  <c r="W47" i="4" s="1"/>
  <c r="X47" i="4" s="1"/>
  <c r="AA47" i="4" s="1"/>
  <c r="N47" i="4" s="1"/>
  <c r="T47" i="4"/>
  <c r="S58" i="4"/>
  <c r="T58" i="4"/>
  <c r="N69" i="4"/>
  <c r="R70" i="4"/>
  <c r="C71" i="4"/>
  <c r="E71" i="4" s="1"/>
  <c r="D70" i="4"/>
  <c r="H70" i="4" s="1"/>
  <c r="I70" i="4" s="1"/>
  <c r="L70" i="4" s="1"/>
  <c r="R37" i="4"/>
  <c r="C38" i="4"/>
  <c r="E38" i="4" s="1"/>
  <c r="D37" i="4"/>
  <c r="H37" i="4" s="1"/>
  <c r="I37" i="4" s="1"/>
  <c r="L37" i="4" s="1"/>
  <c r="R48" i="4"/>
  <c r="C49" i="4"/>
  <c r="E49" i="4" s="1"/>
  <c r="D48" i="4"/>
  <c r="H48" i="4" s="1"/>
  <c r="I48" i="4" s="1"/>
  <c r="L48" i="4" s="1"/>
  <c r="R59" i="4"/>
  <c r="C60" i="4"/>
  <c r="E60" i="4" s="1"/>
  <c r="D59" i="4"/>
  <c r="H59" i="4" s="1"/>
  <c r="I59" i="4" s="1"/>
  <c r="L59" i="4" s="1"/>
  <c r="R15" i="4"/>
  <c r="C16" i="4"/>
  <c r="E16" i="4" s="1"/>
  <c r="D15" i="4"/>
  <c r="H15" i="4" s="1"/>
  <c r="I15" i="4" s="1"/>
  <c r="L15" i="4" s="1"/>
  <c r="R26" i="4"/>
  <c r="D26" i="4"/>
  <c r="H26" i="4" s="1"/>
  <c r="C27" i="4"/>
  <c r="E27" i="4" s="1"/>
  <c r="Q17" i="4"/>
  <c r="AK12" i="3" l="1"/>
  <c r="AL11" i="3"/>
  <c r="AJ114" i="3"/>
  <c r="AJ115" i="3" s="1"/>
  <c r="AJ116" i="3" s="1"/>
  <c r="AJ117" i="3" s="1"/>
  <c r="AD92" i="3"/>
  <c r="AD59" i="3"/>
  <c r="AD37" i="3"/>
  <c r="AD81" i="3"/>
  <c r="AD26" i="3"/>
  <c r="AD70" i="3"/>
  <c r="AD48" i="3"/>
  <c r="AD103" i="3"/>
  <c r="AD114" i="3"/>
  <c r="S59" i="4"/>
  <c r="W59" i="4" s="1"/>
  <c r="X59" i="4" s="1"/>
  <c r="AA59" i="4" s="1"/>
  <c r="T59" i="4"/>
  <c r="W58" i="4"/>
  <c r="X58" i="4" s="1"/>
  <c r="AA58" i="4" s="1"/>
  <c r="N58" i="4" s="1"/>
  <c r="W14" i="4"/>
  <c r="X14" i="4" s="1"/>
  <c r="AA14" i="4" s="1"/>
  <c r="N14" i="4" s="1"/>
  <c r="W36" i="4"/>
  <c r="X36" i="4" s="1"/>
  <c r="AA36" i="4" s="1"/>
  <c r="N36" i="4" s="1"/>
  <c r="S15" i="4"/>
  <c r="T15" i="4"/>
  <c r="S70" i="4"/>
  <c r="W70" i="4" s="1"/>
  <c r="X70" i="4" s="1"/>
  <c r="AA70" i="4" s="1"/>
  <c r="N70" i="4" s="1"/>
  <c r="T70" i="4"/>
  <c r="W25" i="4"/>
  <c r="X25" i="4" s="1"/>
  <c r="AA25" i="4" s="1"/>
  <c r="N25" i="4" s="1"/>
  <c r="S48" i="4"/>
  <c r="T48" i="4"/>
  <c r="S26" i="4"/>
  <c r="W26" i="4" s="1"/>
  <c r="X26" i="4" s="1"/>
  <c r="AA26" i="4" s="1"/>
  <c r="T26" i="4"/>
  <c r="S37" i="4"/>
  <c r="T37" i="4"/>
  <c r="N59" i="4"/>
  <c r="R60" i="4"/>
  <c r="C61" i="4"/>
  <c r="E61" i="4" s="1"/>
  <c r="D60" i="4"/>
  <c r="H60" i="4" s="1"/>
  <c r="I60" i="4" s="1"/>
  <c r="L60" i="4" s="1"/>
  <c r="R27" i="4"/>
  <c r="C28" i="4"/>
  <c r="E28" i="4" s="1"/>
  <c r="D27" i="4"/>
  <c r="H27" i="4"/>
  <c r="I27" i="4" s="1"/>
  <c r="L27" i="4" s="1"/>
  <c r="R16" i="4"/>
  <c r="C17" i="4"/>
  <c r="E17" i="4" s="1"/>
  <c r="D16" i="4"/>
  <c r="H16" i="4" s="1"/>
  <c r="I16" i="4" s="1"/>
  <c r="L16" i="4" s="1"/>
  <c r="R71" i="4"/>
  <c r="D71" i="4"/>
  <c r="H71" i="4" s="1"/>
  <c r="I71" i="4" s="1"/>
  <c r="L71" i="4" s="1"/>
  <c r="C72" i="4"/>
  <c r="E72" i="4" s="1"/>
  <c r="R49" i="4"/>
  <c r="D49" i="4"/>
  <c r="H49" i="4" s="1"/>
  <c r="I49" i="4" s="1"/>
  <c r="L49" i="4" s="1"/>
  <c r="C50" i="4"/>
  <c r="E50" i="4" s="1"/>
  <c r="I26" i="4"/>
  <c r="L26" i="4" s="1"/>
  <c r="N26" i="4" s="1"/>
  <c r="R38" i="4"/>
  <c r="D38" i="4"/>
  <c r="H38" i="4" s="1"/>
  <c r="I38" i="4" s="1"/>
  <c r="L38" i="4" s="1"/>
  <c r="C39" i="4"/>
  <c r="E39" i="4" s="1"/>
  <c r="Q18" i="4"/>
  <c r="AK13" i="3" l="1"/>
  <c r="AL12" i="3"/>
  <c r="AJ118" i="3"/>
  <c r="AJ119" i="3" s="1"/>
  <c r="AJ120" i="3" s="1"/>
  <c r="AJ121" i="3" s="1"/>
  <c r="AJ122" i="3" s="1"/>
  <c r="AJ123" i="3" s="1"/>
  <c r="AJ124" i="3" s="1"/>
  <c r="AJ125" i="3" s="1"/>
  <c r="AJ126" i="3" s="1"/>
  <c r="AJ127" i="3" s="1"/>
  <c r="AD49" i="3"/>
  <c r="AD60" i="3"/>
  <c r="AD82" i="3"/>
  <c r="AD104" i="3"/>
  <c r="AD71" i="3"/>
  <c r="AD27" i="3"/>
  <c r="AD93" i="3"/>
  <c r="AD38" i="3"/>
  <c r="AD115" i="3"/>
  <c r="AD126" i="3"/>
  <c r="S49" i="4"/>
  <c r="W49" i="4" s="1"/>
  <c r="X49" i="4" s="1"/>
  <c r="AA49" i="4" s="1"/>
  <c r="T49" i="4"/>
  <c r="W37" i="4"/>
  <c r="X37" i="4" s="1"/>
  <c r="AA37" i="4" s="1"/>
  <c r="N37" i="4" s="1"/>
  <c r="W48" i="4"/>
  <c r="X48" i="4" s="1"/>
  <c r="AA48" i="4" s="1"/>
  <c r="N48" i="4" s="1"/>
  <c r="S38" i="4"/>
  <c r="W38" i="4" s="1"/>
  <c r="X38" i="4" s="1"/>
  <c r="AA38" i="4" s="1"/>
  <c r="N38" i="4" s="1"/>
  <c r="T38" i="4"/>
  <c r="S71" i="4"/>
  <c r="T71" i="4"/>
  <c r="S60" i="4"/>
  <c r="W60" i="4" s="1"/>
  <c r="X60" i="4" s="1"/>
  <c r="AA60" i="4" s="1"/>
  <c r="T60" i="4"/>
  <c r="W15" i="4"/>
  <c r="X15" i="4" s="1"/>
  <c r="AA15" i="4" s="1"/>
  <c r="N15" i="4" s="1"/>
  <c r="S16" i="4"/>
  <c r="W16" i="4" s="1"/>
  <c r="X16" i="4" s="1"/>
  <c r="AA16" i="4" s="1"/>
  <c r="N16" i="4" s="1"/>
  <c r="T16" i="4"/>
  <c r="S27" i="4"/>
  <c r="T27" i="4"/>
  <c r="N60" i="4"/>
  <c r="N49" i="4"/>
  <c r="R39" i="4"/>
  <c r="D39" i="4"/>
  <c r="H39" i="4" s="1"/>
  <c r="I39" i="4" s="1"/>
  <c r="L39" i="4" s="1"/>
  <c r="C40" i="4"/>
  <c r="E40" i="4" s="1"/>
  <c r="R61" i="4"/>
  <c r="D61" i="4"/>
  <c r="H61" i="4" s="1"/>
  <c r="I61" i="4" s="1"/>
  <c r="L61" i="4" s="1"/>
  <c r="C62" i="4"/>
  <c r="E62" i="4" s="1"/>
  <c r="R50" i="4"/>
  <c r="C51" i="4"/>
  <c r="E51" i="4" s="1"/>
  <c r="D50" i="4"/>
  <c r="H50" i="4" s="1"/>
  <c r="I50" i="4" s="1"/>
  <c r="L50" i="4" s="1"/>
  <c r="R72" i="4"/>
  <c r="D72" i="4"/>
  <c r="H72" i="4" s="1"/>
  <c r="I72" i="4" s="1"/>
  <c r="L72" i="4" s="1"/>
  <c r="C73" i="4"/>
  <c r="E73" i="4" s="1"/>
  <c r="R17" i="4"/>
  <c r="D17" i="4"/>
  <c r="H17" i="4" s="1"/>
  <c r="I17" i="4" s="1"/>
  <c r="L17" i="4" s="1"/>
  <c r="C18" i="4"/>
  <c r="E18" i="4" s="1"/>
  <c r="R28" i="4"/>
  <c r="C29" i="4"/>
  <c r="E29" i="4" s="1"/>
  <c r="D28" i="4"/>
  <c r="H28" i="4" s="1"/>
  <c r="I28" i="4" s="1"/>
  <c r="L28" i="4" s="1"/>
  <c r="Q19" i="4"/>
  <c r="AK14" i="3" l="1"/>
  <c r="AL13" i="3"/>
  <c r="AJ128" i="3"/>
  <c r="AJ129" i="3" s="1"/>
  <c r="AJ130" i="3" s="1"/>
  <c r="AJ131" i="3" s="1"/>
  <c r="AJ132" i="3" s="1"/>
  <c r="AD94" i="3"/>
  <c r="AD28" i="3"/>
  <c r="AD105" i="3"/>
  <c r="AD61" i="3"/>
  <c r="AD39" i="3"/>
  <c r="AD116" i="3"/>
  <c r="AD72" i="3"/>
  <c r="AD83" i="3"/>
  <c r="AD50" i="3"/>
  <c r="AD127" i="3"/>
  <c r="AD138" i="3"/>
  <c r="S17" i="4"/>
  <c r="W17" i="4" s="1"/>
  <c r="X17" i="4" s="1"/>
  <c r="AA17" i="4" s="1"/>
  <c r="T17" i="4"/>
  <c r="W71" i="4"/>
  <c r="S28" i="4"/>
  <c r="W28" i="4" s="1"/>
  <c r="X28" i="4" s="1"/>
  <c r="AA28" i="4" s="1"/>
  <c r="N28" i="4" s="1"/>
  <c r="T28" i="4"/>
  <c r="S39" i="4"/>
  <c r="T39" i="4"/>
  <c r="W27" i="4"/>
  <c r="X27" i="4" s="1"/>
  <c r="AA27" i="4" s="1"/>
  <c r="N27" i="4" s="1"/>
  <c r="S72" i="4"/>
  <c r="W72" i="4" s="1"/>
  <c r="X72" i="4" s="1"/>
  <c r="AA72" i="4" s="1"/>
  <c r="N72" i="4" s="1"/>
  <c r="T72" i="4"/>
  <c r="S50" i="4"/>
  <c r="W50" i="4" s="1"/>
  <c r="X50" i="4" s="1"/>
  <c r="AA50" i="4" s="1"/>
  <c r="N50" i="4" s="1"/>
  <c r="T50" i="4"/>
  <c r="S61" i="4"/>
  <c r="W61" i="4" s="1"/>
  <c r="X61" i="4" s="1"/>
  <c r="AA61" i="4" s="1"/>
  <c r="T61" i="4"/>
  <c r="N17" i="4"/>
  <c r="R29" i="4"/>
  <c r="C30" i="4"/>
  <c r="E30" i="4" s="1"/>
  <c r="D29" i="4"/>
  <c r="H29" i="4" s="1"/>
  <c r="I29" i="4" s="1"/>
  <c r="L29" i="4" s="1"/>
  <c r="R62" i="4"/>
  <c r="C63" i="4"/>
  <c r="E63" i="4" s="1"/>
  <c r="D62" i="4"/>
  <c r="H62" i="4" s="1"/>
  <c r="I62" i="4" s="1"/>
  <c r="L62" i="4" s="1"/>
  <c r="R73" i="4"/>
  <c r="D73" i="4"/>
  <c r="H73" i="4" s="1"/>
  <c r="I73" i="4" s="1"/>
  <c r="L73" i="4" s="1"/>
  <c r="C74" i="4"/>
  <c r="E74" i="4" s="1"/>
  <c r="R51" i="4"/>
  <c r="D51" i="4"/>
  <c r="H51" i="4" s="1"/>
  <c r="I51" i="4" s="1"/>
  <c r="L51" i="4" s="1"/>
  <c r="C52" i="4"/>
  <c r="E52" i="4" s="1"/>
  <c r="R18" i="4"/>
  <c r="D18" i="4"/>
  <c r="H18" i="4" s="1"/>
  <c r="I18" i="4" s="1"/>
  <c r="L18" i="4" s="1"/>
  <c r="C19" i="4"/>
  <c r="E19" i="4" s="1"/>
  <c r="N61" i="4"/>
  <c r="R40" i="4"/>
  <c r="C41" i="4"/>
  <c r="E41" i="4" s="1"/>
  <c r="D40" i="4"/>
  <c r="H40" i="4" s="1"/>
  <c r="I40" i="4" s="1"/>
  <c r="L40" i="4" s="1"/>
  <c r="Q20" i="4"/>
  <c r="AK15" i="3" l="1"/>
  <c r="AL14" i="3"/>
  <c r="AJ133" i="3"/>
  <c r="AD117" i="3"/>
  <c r="AD62" i="3"/>
  <c r="AD29" i="3"/>
  <c r="AD128" i="3"/>
  <c r="AD51" i="3"/>
  <c r="AD73" i="3"/>
  <c r="AD40" i="3"/>
  <c r="AD84" i="3"/>
  <c r="AD139" i="3"/>
  <c r="AD106" i="3"/>
  <c r="AD95" i="3"/>
  <c r="S18" i="4"/>
  <c r="W18" i="4" s="1"/>
  <c r="X18" i="4" s="1"/>
  <c r="AA18" i="4" s="1"/>
  <c r="T18" i="4"/>
  <c r="S29" i="4"/>
  <c r="T29" i="4"/>
  <c r="AA71" i="4"/>
  <c r="N71" i="4" s="1"/>
  <c r="X71" i="4"/>
  <c r="S51" i="4"/>
  <c r="T51" i="4"/>
  <c r="S62" i="4"/>
  <c r="W62" i="4" s="1"/>
  <c r="T62" i="4"/>
  <c r="W39" i="4"/>
  <c r="X39" i="4" s="1"/>
  <c r="AA39" i="4" s="1"/>
  <c r="N39" i="4" s="1"/>
  <c r="S40" i="4"/>
  <c r="W40" i="4" s="1"/>
  <c r="X40" i="4" s="1"/>
  <c r="AA40" i="4" s="1"/>
  <c r="N40" i="4" s="1"/>
  <c r="T40" i="4"/>
  <c r="S73" i="4"/>
  <c r="T73" i="4"/>
  <c r="R41" i="4"/>
  <c r="D41" i="4"/>
  <c r="H41" i="4" s="1"/>
  <c r="I41" i="4" s="1"/>
  <c r="L41" i="4" s="1"/>
  <c r="C42" i="4"/>
  <c r="E42" i="4" s="1"/>
  <c r="R30" i="4"/>
  <c r="C31" i="4"/>
  <c r="E31" i="4" s="1"/>
  <c r="D30" i="4"/>
  <c r="H30" i="4" s="1"/>
  <c r="I30" i="4" s="1"/>
  <c r="L30" i="4" s="1"/>
  <c r="R52" i="4"/>
  <c r="D52" i="4"/>
  <c r="H52" i="4" s="1"/>
  <c r="I52" i="4" s="1"/>
  <c r="L52" i="4" s="1"/>
  <c r="C53" i="4"/>
  <c r="E53" i="4" s="1"/>
  <c r="X62" i="4"/>
  <c r="AA62" i="4" s="1"/>
  <c r="N62" i="4" s="1"/>
  <c r="R19" i="4"/>
  <c r="C20" i="4"/>
  <c r="E20" i="4" s="1"/>
  <c r="D19" i="4"/>
  <c r="H19" i="4" s="1"/>
  <c r="I19" i="4" s="1"/>
  <c r="L19" i="4" s="1"/>
  <c r="N18" i="4"/>
  <c r="R74" i="4"/>
  <c r="D74" i="4"/>
  <c r="H74" i="4" s="1"/>
  <c r="I74" i="4" s="1"/>
  <c r="L74" i="4" s="1"/>
  <c r="R63" i="4"/>
  <c r="D63" i="4"/>
  <c r="H63" i="4" s="1"/>
  <c r="I63" i="4" s="1"/>
  <c r="L63" i="4" s="1"/>
  <c r="C64" i="4"/>
  <c r="E64" i="4" s="1"/>
  <c r="AK16" i="3" l="1"/>
  <c r="AL15" i="3"/>
  <c r="AJ134" i="3"/>
  <c r="AD74" i="3"/>
  <c r="AD129" i="3"/>
  <c r="AD85" i="3"/>
  <c r="AD41" i="3"/>
  <c r="AD52" i="3"/>
  <c r="AD63" i="3"/>
  <c r="AD107" i="3"/>
  <c r="AD140" i="3"/>
  <c r="AD96" i="3"/>
  <c r="AD118" i="3"/>
  <c r="S63" i="4"/>
  <c r="W63" i="4" s="1"/>
  <c r="X63" i="4" s="1"/>
  <c r="AA63" i="4" s="1"/>
  <c r="T63" i="4"/>
  <c r="S41" i="4"/>
  <c r="T41" i="4"/>
  <c r="S30" i="4"/>
  <c r="W30" i="4" s="1"/>
  <c r="X30" i="4" s="1"/>
  <c r="AA30" i="4" s="1"/>
  <c r="T30" i="4"/>
  <c r="W51" i="4"/>
  <c r="X51" i="4" s="1"/>
  <c r="AA51" i="4" s="1"/>
  <c r="N51" i="4" s="1"/>
  <c r="W29" i="4"/>
  <c r="X29" i="4" s="1"/>
  <c r="AA29" i="4" s="1"/>
  <c r="N29" i="4" s="1"/>
  <c r="S74" i="4"/>
  <c r="W74" i="4" s="1"/>
  <c r="X74" i="4" s="1"/>
  <c r="AA74" i="4" s="1"/>
  <c r="T74" i="4"/>
  <c r="S19" i="4"/>
  <c r="W19" i="4" s="1"/>
  <c r="X19" i="4" s="1"/>
  <c r="AA19" i="4" s="1"/>
  <c r="N19" i="4" s="1"/>
  <c r="T19" i="4"/>
  <c r="S52" i="4"/>
  <c r="W52" i="4" s="1"/>
  <c r="X52" i="4" s="1"/>
  <c r="AA52" i="4" s="1"/>
  <c r="N52" i="4" s="1"/>
  <c r="T52" i="4"/>
  <c r="W73" i="4"/>
  <c r="X73" i="4" s="1"/>
  <c r="AA73" i="4" s="1"/>
  <c r="N73" i="4" s="1"/>
  <c r="N74" i="4"/>
  <c r="N63" i="4"/>
  <c r="N30" i="4"/>
  <c r="R20" i="4"/>
  <c r="D20" i="4"/>
  <c r="H20" i="4" s="1"/>
  <c r="I20" i="4" s="1"/>
  <c r="L20" i="4" s="1"/>
  <c r="R53" i="4"/>
  <c r="C54" i="4"/>
  <c r="E54" i="4" s="1"/>
  <c r="D53" i="4"/>
  <c r="H53" i="4" s="1"/>
  <c r="R31" i="4"/>
  <c r="D31" i="4"/>
  <c r="H31" i="4" s="1"/>
  <c r="I31" i="4" s="1"/>
  <c r="L31" i="4" s="1"/>
  <c r="C32" i="4"/>
  <c r="E32" i="4" s="1"/>
  <c r="R42" i="4"/>
  <c r="D42" i="4"/>
  <c r="H42" i="4" s="1"/>
  <c r="I42" i="4" s="1"/>
  <c r="L42" i="4" s="1"/>
  <c r="C43" i="4"/>
  <c r="E43" i="4" s="1"/>
  <c r="R64" i="4"/>
  <c r="C65" i="4"/>
  <c r="E65" i="4" s="1"/>
  <c r="D64" i="4"/>
  <c r="H64" i="4" s="1"/>
  <c r="AK17" i="3" l="1"/>
  <c r="AK18" i="3" s="1"/>
  <c r="AL16" i="3"/>
  <c r="AJ135" i="3"/>
  <c r="AD130" i="3"/>
  <c r="AD97" i="3"/>
  <c r="AD108" i="3"/>
  <c r="AD53" i="3"/>
  <c r="AD86" i="3"/>
  <c r="AD75" i="3"/>
  <c r="AD64" i="3"/>
  <c r="AD119" i="3"/>
  <c r="AD141" i="3"/>
  <c r="S31" i="4"/>
  <c r="W31" i="4" s="1"/>
  <c r="X31" i="4" s="1"/>
  <c r="AA31" i="4" s="1"/>
  <c r="T31" i="4"/>
  <c r="W41" i="4"/>
  <c r="X41" i="4" s="1"/>
  <c r="AA41" i="4" s="1"/>
  <c r="N41" i="4" s="1"/>
  <c r="S42" i="4"/>
  <c r="W42" i="4" s="1"/>
  <c r="X42" i="4" s="1"/>
  <c r="AA42" i="4" s="1"/>
  <c r="N42" i="4" s="1"/>
  <c r="T42" i="4"/>
  <c r="S20" i="4"/>
  <c r="T20" i="4"/>
  <c r="S53" i="4"/>
  <c r="W53" i="4" s="1"/>
  <c r="X53" i="4" s="1"/>
  <c r="AA53" i="4" s="1"/>
  <c r="T53" i="4"/>
  <c r="S64" i="4"/>
  <c r="T64" i="4"/>
  <c r="N31" i="4"/>
  <c r="R32" i="4"/>
  <c r="D32" i="4"/>
  <c r="H32" i="4" s="1"/>
  <c r="I32" i="4" s="1"/>
  <c r="L32" i="4" s="1"/>
  <c r="R54" i="4"/>
  <c r="C55" i="4"/>
  <c r="E55" i="4" s="1"/>
  <c r="D54" i="4"/>
  <c r="H54" i="4" s="1"/>
  <c r="I54" i="4" s="1"/>
  <c r="L54" i="4" s="1"/>
  <c r="R43" i="4"/>
  <c r="C44" i="4"/>
  <c r="E44" i="4" s="1"/>
  <c r="D43" i="4"/>
  <c r="H43" i="4" s="1"/>
  <c r="I43" i="4" s="1"/>
  <c r="L43" i="4" s="1"/>
  <c r="I64" i="4"/>
  <c r="L64" i="4" s="1"/>
  <c r="R65" i="4"/>
  <c r="C66" i="4"/>
  <c r="E66" i="4" s="1"/>
  <c r="D65" i="4"/>
  <c r="H65" i="4" s="1"/>
  <c r="I65" i="4" s="1"/>
  <c r="L65" i="4" s="1"/>
  <c r="I53" i="4"/>
  <c r="L53" i="4" s="1"/>
  <c r="AL17" i="3" l="1"/>
  <c r="AJ136" i="3"/>
  <c r="AD87" i="3"/>
  <c r="AD120" i="3"/>
  <c r="AD65" i="3"/>
  <c r="AD76" i="3"/>
  <c r="AD109" i="3"/>
  <c r="AD131" i="3"/>
  <c r="AD98" i="3"/>
  <c r="AD142" i="3"/>
  <c r="S43" i="4"/>
  <c r="W43" i="4" s="1"/>
  <c r="X43" i="4" s="1"/>
  <c r="AA43" i="4" s="1"/>
  <c r="T43" i="4"/>
  <c r="N53" i="4"/>
  <c r="N64" i="4"/>
  <c r="S32" i="4"/>
  <c r="W32" i="4" s="1"/>
  <c r="X32" i="4" s="1"/>
  <c r="AA32" i="4" s="1"/>
  <c r="T32" i="4"/>
  <c r="S65" i="4"/>
  <c r="T65" i="4"/>
  <c r="W64" i="4"/>
  <c r="X64" i="4" s="1"/>
  <c r="AA64" i="4" s="1"/>
  <c r="W20" i="4"/>
  <c r="X20" i="4" s="1"/>
  <c r="AA20" i="4" s="1"/>
  <c r="N20" i="4" s="1"/>
  <c r="S54" i="4"/>
  <c r="T54" i="4"/>
  <c r="N32" i="4"/>
  <c r="N43" i="4"/>
  <c r="R66" i="4"/>
  <c r="D66" i="4"/>
  <c r="H66" i="4" s="1"/>
  <c r="I66" i="4" s="1"/>
  <c r="L66" i="4" s="1"/>
  <c r="C67" i="4"/>
  <c r="E67" i="4" s="1"/>
  <c r="R55" i="4"/>
  <c r="C56" i="4"/>
  <c r="E56" i="4" s="1"/>
  <c r="D55" i="4"/>
  <c r="H55" i="4" s="1"/>
  <c r="I55" i="4" s="1"/>
  <c r="L55" i="4" s="1"/>
  <c r="R44" i="4"/>
  <c r="D44" i="4"/>
  <c r="H44" i="4" s="1"/>
  <c r="I44" i="4" s="1"/>
  <c r="L44" i="4" s="1"/>
  <c r="AK19" i="3" l="1"/>
  <c r="AL18" i="3"/>
  <c r="AJ137" i="3"/>
  <c r="AJ138" i="3" s="1"/>
  <c r="AD99" i="3"/>
  <c r="AD110" i="3"/>
  <c r="AD121" i="3"/>
  <c r="AD143" i="3"/>
  <c r="O16" i="3" s="1"/>
  <c r="AD132" i="3"/>
  <c r="AD77" i="3"/>
  <c r="AD88" i="3"/>
  <c r="S55" i="4"/>
  <c r="W55" i="4" s="1"/>
  <c r="X55" i="4" s="1"/>
  <c r="AA55" i="4" s="1"/>
  <c r="T55" i="4"/>
  <c r="S44" i="4"/>
  <c r="T44" i="4"/>
  <c r="W54" i="4"/>
  <c r="X54" i="4" s="1"/>
  <c r="AA54" i="4" s="1"/>
  <c r="N54" i="4" s="1"/>
  <c r="W65" i="4"/>
  <c r="X65" i="4" s="1"/>
  <c r="AA65" i="4" s="1"/>
  <c r="N65" i="4" s="1"/>
  <c r="S66" i="4"/>
  <c r="W66" i="4" s="1"/>
  <c r="X66" i="4" s="1"/>
  <c r="AA66" i="4" s="1"/>
  <c r="N66" i="4" s="1"/>
  <c r="T66" i="4"/>
  <c r="N55" i="4"/>
  <c r="R67" i="4"/>
  <c r="D67" i="4"/>
  <c r="H67" i="4" s="1"/>
  <c r="I67" i="4" s="1"/>
  <c r="L67" i="4" s="1"/>
  <c r="C68" i="4"/>
  <c r="E68" i="4" s="1"/>
  <c r="R56" i="4"/>
  <c r="D56" i="4"/>
  <c r="H56" i="4" s="1"/>
  <c r="I56" i="4" s="1"/>
  <c r="L56" i="4" s="1"/>
  <c r="AK20" i="3" l="1"/>
  <c r="AL19" i="3"/>
  <c r="AJ139" i="3"/>
  <c r="AD100" i="3"/>
  <c r="AD89" i="3"/>
  <c r="AD133" i="3"/>
  <c r="AD122" i="3"/>
  <c r="AD111" i="3"/>
  <c r="S67" i="4"/>
  <c r="W67" i="4" s="1"/>
  <c r="X67" i="4" s="1"/>
  <c r="AA67" i="4" s="1"/>
  <c r="N67" i="4" s="1"/>
  <c r="T67" i="4"/>
  <c r="W44" i="4"/>
  <c r="X44" i="4" s="1"/>
  <c r="AA44" i="4" s="1"/>
  <c r="N44" i="4" s="1"/>
  <c r="S56" i="4"/>
  <c r="W56" i="4" s="1"/>
  <c r="X56" i="4" s="1"/>
  <c r="AA56" i="4" s="1"/>
  <c r="N56" i="4" s="1"/>
  <c r="T56" i="4"/>
  <c r="R68" i="4"/>
  <c r="D68" i="4"/>
  <c r="H68" i="4" s="1"/>
  <c r="I68" i="4" s="1"/>
  <c r="L68" i="4" s="1"/>
  <c r="AK21" i="3" l="1"/>
  <c r="AL20" i="3"/>
  <c r="AJ140" i="3"/>
  <c r="AD112" i="3"/>
  <c r="AD123" i="3"/>
  <c r="AD101" i="3"/>
  <c r="AD134" i="3"/>
  <c r="S68" i="4"/>
  <c r="W68" i="4" s="1"/>
  <c r="X68" i="4" s="1"/>
  <c r="AA68" i="4" s="1"/>
  <c r="T68" i="4"/>
  <c r="N68" i="4"/>
  <c r="N2" i="4" s="1"/>
  <c r="AK22" i="3" l="1"/>
  <c r="AL21" i="3"/>
  <c r="AJ141" i="3"/>
  <c r="AD135" i="3"/>
  <c r="AD124" i="3"/>
  <c r="AD113" i="3"/>
  <c r="AK23" i="3" l="1"/>
  <c r="AL22" i="3"/>
  <c r="AJ142" i="3"/>
  <c r="AD125" i="3"/>
  <c r="AD136" i="3"/>
  <c r="AK24" i="3" l="1"/>
  <c r="AL23" i="3"/>
  <c r="AJ143" i="3"/>
  <c r="AD137" i="3"/>
  <c r="AK25" i="3" l="1"/>
  <c r="AL24" i="3"/>
  <c r="AI4" i="3"/>
  <c r="AF6" i="3"/>
  <c r="AH6" i="3" l="1"/>
  <c r="AM6" i="3"/>
  <c r="AK26" i="3"/>
  <c r="AL25" i="3"/>
  <c r="AE6" i="3"/>
  <c r="AI5" i="3"/>
  <c r="C6" i="3" l="1"/>
  <c r="AK27" i="3"/>
  <c r="AL26" i="3"/>
  <c r="AF7" i="3"/>
  <c r="AI6" i="3"/>
  <c r="AE7" i="3" l="1"/>
  <c r="AM7" i="3"/>
  <c r="AK28" i="3"/>
  <c r="AL27" i="3"/>
  <c r="AF8" i="3"/>
  <c r="AH7" i="3"/>
  <c r="C7" i="3" l="1"/>
  <c r="AE8" i="3"/>
  <c r="AM8" i="3"/>
  <c r="AK29" i="3"/>
  <c r="AK30" i="3" s="1"/>
  <c r="AL28" i="3"/>
  <c r="AI7" i="3"/>
  <c r="AH8" i="3"/>
  <c r="AI8" i="3" s="1"/>
  <c r="C8" i="3" l="1"/>
  <c r="R8" i="3" s="1"/>
  <c r="U8" i="3" s="1"/>
  <c r="AL29" i="3"/>
  <c r="D6" i="3"/>
  <c r="R7" i="3"/>
  <c r="D8" i="3"/>
  <c r="D7" i="3"/>
  <c r="E7" i="3"/>
  <c r="F7" i="3"/>
  <c r="E6" i="3"/>
  <c r="T6" i="3" s="1"/>
  <c r="R6" i="3"/>
  <c r="U6" i="3" s="1"/>
  <c r="F6" i="3"/>
  <c r="F8" i="3" l="1"/>
  <c r="H8" i="3" s="1"/>
  <c r="I8" i="3" s="1"/>
  <c r="L8" i="3" s="1"/>
  <c r="E8" i="3"/>
  <c r="T8" i="3" s="1"/>
  <c r="AK31" i="3"/>
  <c r="AL30" i="3"/>
  <c r="S8" i="3"/>
  <c r="N8" i="3" s="1"/>
  <c r="H7" i="3"/>
  <c r="I7" i="3" s="1"/>
  <c r="L7" i="3" s="1"/>
  <c r="H6" i="3"/>
  <c r="S6" i="3"/>
  <c r="N6" i="3" s="1"/>
  <c r="T7" i="3"/>
  <c r="U7" i="3"/>
  <c r="S7" i="3"/>
  <c r="N7" i="3" s="1"/>
  <c r="W8" i="3" l="1"/>
  <c r="X8" i="3" s="1"/>
  <c r="AA8" i="3" s="1"/>
  <c r="AK32" i="3"/>
  <c r="AL31" i="3"/>
  <c r="W7" i="3"/>
  <c r="X7" i="3" s="1"/>
  <c r="AA7" i="3" s="1"/>
  <c r="I6" i="3"/>
  <c r="L6" i="3" s="1"/>
  <c r="W6" i="3"/>
  <c r="AK33" i="3" l="1"/>
  <c r="AL32" i="3"/>
  <c r="X6" i="3"/>
  <c r="AK34" i="3" l="1"/>
  <c r="AL33" i="3"/>
  <c r="AA6" i="3"/>
  <c r="AK35" i="3" l="1"/>
  <c r="AL34" i="3"/>
  <c r="AG3" i="3"/>
  <c r="C3" i="3" s="1"/>
  <c r="AK36" i="3" l="1"/>
  <c r="AL35" i="3"/>
  <c r="AG4" i="3"/>
  <c r="AG5" i="3" s="1"/>
  <c r="E3" i="3"/>
  <c r="T3" i="3" s="1"/>
  <c r="AK37" i="3" l="1"/>
  <c r="AL36" i="3"/>
  <c r="C4" i="3"/>
  <c r="F4" i="3" s="1"/>
  <c r="K3" i="5" a="1"/>
  <c r="K3" i="5" s="1"/>
  <c r="L3" i="5" s="1"/>
  <c r="L4" i="5" s="1"/>
  <c r="L5" i="5" s="1"/>
  <c r="L6" i="5" s="1"/>
  <c r="L7" i="5" s="1"/>
  <c r="L8" i="5" s="1"/>
  <c r="L9" i="5" s="1"/>
  <c r="L10" i="5" s="1"/>
  <c r="L11" i="5" s="1"/>
  <c r="L12" i="5" s="1"/>
  <c r="L13" i="5" s="1"/>
  <c r="L14" i="5" s="1"/>
  <c r="L15" i="5" s="1"/>
  <c r="L16" i="5" s="1"/>
  <c r="L17" i="5" s="1"/>
  <c r="L18" i="5" s="1"/>
  <c r="L19" i="5" s="1"/>
  <c r="L20" i="5" s="1"/>
  <c r="D3" i="3"/>
  <c r="R3" i="3"/>
  <c r="U3" i="3" s="1"/>
  <c r="F3" i="3"/>
  <c r="R4" i="3"/>
  <c r="E4" i="3" l="1"/>
  <c r="T4" i="3" s="1"/>
  <c r="D4" i="3"/>
  <c r="AK38" i="3"/>
  <c r="AL37" i="3"/>
  <c r="C5" i="3"/>
  <c r="F5" i="3" s="1"/>
  <c r="H3" i="3"/>
  <c r="I3" i="3" s="1"/>
  <c r="L3" i="3" s="1"/>
  <c r="S3" i="3"/>
  <c r="J3" i="5"/>
  <c r="U4" i="3"/>
  <c r="S4" i="3"/>
  <c r="N4" i="3" s="1"/>
  <c r="W3" i="3" l="1"/>
  <c r="N3" i="3"/>
  <c r="H4" i="3"/>
  <c r="I4" i="3" s="1"/>
  <c r="L4" i="3" s="1"/>
  <c r="AK39" i="3"/>
  <c r="AL38" i="3"/>
  <c r="E5" i="3"/>
  <c r="T5" i="3" s="1"/>
  <c r="R5" i="3"/>
  <c r="U5" i="3" s="1"/>
  <c r="D5" i="3"/>
  <c r="W4" i="3"/>
  <c r="X4" i="3" s="1"/>
  <c r="AA4" i="3" s="1"/>
  <c r="X3" i="3"/>
  <c r="AK40" i="3" l="1"/>
  <c r="AL39" i="3"/>
  <c r="H5" i="3"/>
  <c r="I5" i="3" s="1"/>
  <c r="L5" i="3" s="1"/>
  <c r="S5" i="3"/>
  <c r="AA3" i="3"/>
  <c r="W5" i="3" l="1"/>
  <c r="X5" i="3" s="1"/>
  <c r="AA5" i="3" s="1"/>
  <c r="N5" i="3"/>
  <c r="AK41" i="3"/>
  <c r="AL40" i="3"/>
  <c r="O23" i="3"/>
  <c r="O17" i="3"/>
  <c r="AK42" i="3" l="1"/>
  <c r="AL41" i="3"/>
  <c r="O18" i="3"/>
  <c r="AK43" i="3" l="1"/>
  <c r="AL42" i="3"/>
  <c r="AF9" i="3"/>
  <c r="AF10" i="3" l="1"/>
  <c r="AM10" i="3" s="1"/>
  <c r="AM9" i="3"/>
  <c r="AK44" i="3"/>
  <c r="AL43" i="3"/>
  <c r="AE9" i="3"/>
  <c r="AH9" i="3"/>
  <c r="AI9" i="3" s="1"/>
  <c r="AE10" i="3" l="1"/>
  <c r="AF11" i="3"/>
  <c r="AE11" i="3" s="1"/>
  <c r="AH10" i="3"/>
  <c r="AI10" i="3" s="1"/>
  <c r="AK45" i="3"/>
  <c r="AL44" i="3"/>
  <c r="AF12" i="3" l="1"/>
  <c r="AE12" i="3" s="1"/>
  <c r="AM11" i="3"/>
  <c r="AH11" i="3"/>
  <c r="AI11" i="3" s="1"/>
  <c r="AK46" i="3"/>
  <c r="AL45" i="3"/>
  <c r="AF13" i="3" l="1"/>
  <c r="AE13" i="3" s="1"/>
  <c r="AM12" i="3"/>
  <c r="AH12" i="3"/>
  <c r="AI12" i="3" s="1"/>
  <c r="AK47" i="3"/>
  <c r="AL46" i="3"/>
  <c r="AM13" i="3" l="1"/>
  <c r="AF14" i="3"/>
  <c r="AF15" i="3" s="1"/>
  <c r="AH13" i="3"/>
  <c r="AI13" i="3" s="1"/>
  <c r="AK48" i="3"/>
  <c r="AL47" i="3"/>
  <c r="AM14" i="3" l="1"/>
  <c r="AE14" i="3"/>
  <c r="AH14" i="3"/>
  <c r="AI14" i="3" s="1"/>
  <c r="AE15" i="3"/>
  <c r="AM15" i="3"/>
  <c r="AK49" i="3"/>
  <c r="AL48" i="3"/>
  <c r="AH15" i="3"/>
  <c r="AI15" i="3" s="1"/>
  <c r="AF16" i="3"/>
  <c r="AE16" i="3" l="1"/>
  <c r="AM16" i="3"/>
  <c r="AK50" i="3"/>
  <c r="AL49" i="3"/>
  <c r="AH16" i="3"/>
  <c r="AI16" i="3" s="1"/>
  <c r="AF17" i="3"/>
  <c r="AE17" i="3" l="1"/>
  <c r="AM17" i="3"/>
  <c r="AK51" i="3"/>
  <c r="AL50" i="3"/>
  <c r="AH17" i="3"/>
  <c r="AG18" i="3" s="1"/>
  <c r="AK52" i="3" l="1"/>
  <c r="AL51" i="3"/>
  <c r="AF18" i="3"/>
  <c r="AI17" i="3"/>
  <c r="AG19" i="3" s="1"/>
  <c r="AG20" i="3" s="1"/>
  <c r="AG21" i="3" s="1"/>
  <c r="AG22" i="3" s="1"/>
  <c r="AG23" i="3" s="1"/>
  <c r="AG24" i="3" s="1"/>
  <c r="AG25" i="3" s="1"/>
  <c r="AG26" i="3" s="1"/>
  <c r="AG27" i="3" s="1"/>
  <c r="AG28" i="3" s="1"/>
  <c r="AG29" i="3" s="1"/>
  <c r="AE18" i="3" l="1"/>
  <c r="AM18" i="3"/>
  <c r="C18" i="3" s="1"/>
  <c r="AK53" i="3"/>
  <c r="AL52" i="3"/>
  <c r="AH18" i="3"/>
  <c r="AI18" i="3" s="1"/>
  <c r="AF19" i="3"/>
  <c r="AK54" i="3" l="1"/>
  <c r="AE19" i="3"/>
  <c r="AM19" i="3"/>
  <c r="C19" i="3" s="1"/>
  <c r="AL53" i="3"/>
  <c r="AH19" i="3"/>
  <c r="AI19" i="3" s="1"/>
  <c r="AF20" i="3"/>
  <c r="AM20" i="3" s="1"/>
  <c r="R18" i="3"/>
  <c r="D18" i="3"/>
  <c r="F18" i="3"/>
  <c r="E18" i="3"/>
  <c r="AK55" i="3" l="1"/>
  <c r="AL54" i="3"/>
  <c r="AF21" i="3"/>
  <c r="AE20" i="3"/>
  <c r="C20" i="3" s="1"/>
  <c r="AH20" i="3"/>
  <c r="AI20" i="3" s="1"/>
  <c r="U18" i="3"/>
  <c r="S18" i="3"/>
  <c r="N18" i="3" s="1"/>
  <c r="T18" i="3"/>
  <c r="H18" i="3"/>
  <c r="I18" i="3" s="1"/>
  <c r="L18" i="3" s="1"/>
  <c r="F19" i="3"/>
  <c r="R19" i="3"/>
  <c r="D19" i="3"/>
  <c r="E19" i="3"/>
  <c r="AF22" i="3" l="1"/>
  <c r="AM22" i="3" s="1"/>
  <c r="AM21" i="3"/>
  <c r="AK56" i="3"/>
  <c r="AL55" i="3"/>
  <c r="AH21" i="3"/>
  <c r="AI21" i="3" s="1"/>
  <c r="AE21" i="3"/>
  <c r="W18" i="3"/>
  <c r="X18" i="3" s="1"/>
  <c r="AA18" i="3" s="1"/>
  <c r="H19" i="3"/>
  <c r="I19" i="3" s="1"/>
  <c r="L19" i="3" s="1"/>
  <c r="S19" i="3"/>
  <c r="N19" i="3" s="1"/>
  <c r="T19" i="3"/>
  <c r="U19" i="3"/>
  <c r="R20" i="3"/>
  <c r="F20" i="3"/>
  <c r="D20" i="3"/>
  <c r="E20" i="3"/>
  <c r="AF23" i="3" l="1"/>
  <c r="AM23" i="3" s="1"/>
  <c r="AH22" i="3"/>
  <c r="AI22" i="3" s="1"/>
  <c r="AE22" i="3"/>
  <c r="C22" i="3" s="1"/>
  <c r="R22" i="3" s="1"/>
  <c r="S22" i="3" s="1"/>
  <c r="C21" i="3"/>
  <c r="D21" i="3" s="1"/>
  <c r="AK57" i="3"/>
  <c r="AL56" i="3"/>
  <c r="W19" i="3"/>
  <c r="X19" i="3" s="1"/>
  <c r="AA19" i="3" s="1"/>
  <c r="S20" i="3"/>
  <c r="N20" i="3" s="1"/>
  <c r="T20" i="3"/>
  <c r="U20" i="3"/>
  <c r="H20" i="3"/>
  <c r="I20" i="3" s="1"/>
  <c r="L20" i="3" s="1"/>
  <c r="AF24" i="3" l="1"/>
  <c r="AM24" i="3" s="1"/>
  <c r="C24" i="3" s="1"/>
  <c r="D24" i="3" s="1"/>
  <c r="F21" i="3"/>
  <c r="AE23" i="3"/>
  <c r="C23" i="3" s="1"/>
  <c r="R23" i="3" s="1"/>
  <c r="T23" i="3" s="1"/>
  <c r="AH23" i="3"/>
  <c r="AI23" i="3" s="1"/>
  <c r="E22" i="3"/>
  <c r="D22" i="3"/>
  <c r="N22" i="3" s="1"/>
  <c r="F22" i="3"/>
  <c r="E21" i="3"/>
  <c r="R21" i="3"/>
  <c r="U21" i="3" s="1"/>
  <c r="AK58" i="3"/>
  <c r="AL57" i="3"/>
  <c r="U22" i="3"/>
  <c r="T22" i="3"/>
  <c r="W20" i="3"/>
  <c r="X20" i="3" s="1"/>
  <c r="AA20" i="3" s="1"/>
  <c r="H21" i="3" l="1"/>
  <c r="I21" i="3" s="1"/>
  <c r="L21" i="3" s="1"/>
  <c r="AE24" i="3"/>
  <c r="AF25" i="3"/>
  <c r="AH25" i="3" s="1"/>
  <c r="AI25" i="3" s="1"/>
  <c r="U23" i="3"/>
  <c r="F23" i="3"/>
  <c r="E23" i="3"/>
  <c r="AH24" i="3"/>
  <c r="AI24" i="3" s="1"/>
  <c r="S21" i="3"/>
  <c r="N21" i="3" s="1"/>
  <c r="H22" i="3"/>
  <c r="I22" i="3" s="1"/>
  <c r="L22" i="3" s="1"/>
  <c r="S23" i="3"/>
  <c r="D23" i="3"/>
  <c r="T21" i="3"/>
  <c r="W21" i="3" s="1"/>
  <c r="X21" i="3" s="1"/>
  <c r="AA21" i="3" s="1"/>
  <c r="AK59" i="3"/>
  <c r="AL58" i="3"/>
  <c r="W22" i="3"/>
  <c r="X22" i="3" s="1"/>
  <c r="AA22" i="3" s="1"/>
  <c r="AF26" i="3"/>
  <c r="AM26" i="3" s="1"/>
  <c r="R24" i="3"/>
  <c r="T24" i="3" s="1"/>
  <c r="F24" i="3"/>
  <c r="E24" i="3"/>
  <c r="N23" i="3" l="1"/>
  <c r="AM25" i="3"/>
  <c r="C25" i="3" s="1"/>
  <c r="D25" i="3" s="1"/>
  <c r="W23" i="3"/>
  <c r="X23" i="3" s="1"/>
  <c r="AA23" i="3" s="1"/>
  <c r="AE25" i="3"/>
  <c r="H23" i="3"/>
  <c r="I23" i="3" s="1"/>
  <c r="L23" i="3" s="1"/>
  <c r="AK60" i="3"/>
  <c r="AL59" i="3"/>
  <c r="S24" i="3"/>
  <c r="N24" i="3" s="1"/>
  <c r="U24" i="3"/>
  <c r="AF27" i="3"/>
  <c r="AE26" i="3"/>
  <c r="C26" i="3" s="1"/>
  <c r="D26" i="3" s="1"/>
  <c r="F25" i="3"/>
  <c r="AH26" i="3"/>
  <c r="AI26" i="3" s="1"/>
  <c r="H24" i="3"/>
  <c r="I24" i="3" s="1"/>
  <c r="L24" i="3" s="1"/>
  <c r="R25" i="3"/>
  <c r="U25" i="3" s="1"/>
  <c r="E25" i="3"/>
  <c r="H25" i="3" s="1"/>
  <c r="I25" i="3" s="1"/>
  <c r="L25" i="3" s="1"/>
  <c r="AE27" i="3" l="1"/>
  <c r="AM27" i="3"/>
  <c r="C27" i="3" s="1"/>
  <c r="E27" i="3" s="1"/>
  <c r="W24" i="3"/>
  <c r="X24" i="3" s="1"/>
  <c r="AA24" i="3" s="1"/>
  <c r="AK61" i="3"/>
  <c r="AL60" i="3"/>
  <c r="AF28" i="3"/>
  <c r="AH27" i="3"/>
  <c r="AI27" i="3" s="1"/>
  <c r="S25" i="3"/>
  <c r="N25" i="3" s="1"/>
  <c r="T25" i="3"/>
  <c r="R26" i="3"/>
  <c r="T26" i="3" s="1"/>
  <c r="E26" i="3"/>
  <c r="F26" i="3"/>
  <c r="U26" i="3" l="1"/>
  <c r="AE28" i="3"/>
  <c r="AM28" i="3"/>
  <c r="C28" i="3" s="1"/>
  <c r="F28" i="3" s="1"/>
  <c r="AK62" i="3"/>
  <c r="AL61" i="3"/>
  <c r="AF29" i="3"/>
  <c r="S26" i="3"/>
  <c r="W25" i="3"/>
  <c r="X25" i="3" s="1"/>
  <c r="AA25" i="3" s="1"/>
  <c r="D27" i="3"/>
  <c r="AH28" i="3"/>
  <c r="AI28" i="3" s="1"/>
  <c r="H26" i="3"/>
  <c r="I26" i="3" s="1"/>
  <c r="L26" i="3" s="1"/>
  <c r="R27" i="3"/>
  <c r="T27" i="3" s="1"/>
  <c r="F27" i="3"/>
  <c r="H27" i="3" s="1"/>
  <c r="I27" i="3" s="1"/>
  <c r="L27" i="3" s="1"/>
  <c r="W26" i="3" l="1"/>
  <c r="X26" i="3" s="1"/>
  <c r="AA26" i="3" s="1"/>
  <c r="N26" i="3"/>
  <c r="AE29" i="3"/>
  <c r="AM29" i="3"/>
  <c r="C29" i="3" s="1"/>
  <c r="R29" i="3" s="1"/>
  <c r="AK63" i="3"/>
  <c r="AL62" i="3"/>
  <c r="AH29" i="3"/>
  <c r="AG30" i="3" s="1"/>
  <c r="AG31" i="3" s="1"/>
  <c r="AG32" i="3" s="1"/>
  <c r="AG33" i="3" s="1"/>
  <c r="AG34" i="3" s="1"/>
  <c r="AG35" i="3" s="1"/>
  <c r="AG36" i="3" s="1"/>
  <c r="AG37" i="3" s="1"/>
  <c r="AG38" i="3" s="1"/>
  <c r="AG39" i="3" s="1"/>
  <c r="AG40" i="3" s="1"/>
  <c r="AG41" i="3" s="1"/>
  <c r="E28" i="3"/>
  <c r="U27" i="3"/>
  <c r="S27" i="3"/>
  <c r="N27" i="3" s="1"/>
  <c r="R28" i="3"/>
  <c r="T28" i="3" s="1"/>
  <c r="D28" i="3"/>
  <c r="H28" i="3" s="1"/>
  <c r="I28" i="3" s="1"/>
  <c r="L28" i="3" s="1"/>
  <c r="AK64" i="3" l="1"/>
  <c r="AL63" i="3"/>
  <c r="AF30" i="3"/>
  <c r="AI29" i="3"/>
  <c r="W27" i="3"/>
  <c r="X27" i="3" s="1"/>
  <c r="AA27" i="3" s="1"/>
  <c r="S28" i="3"/>
  <c r="N28" i="3" s="1"/>
  <c r="U28" i="3"/>
  <c r="D29" i="3"/>
  <c r="F29" i="3"/>
  <c r="E29" i="3"/>
  <c r="U29" i="3"/>
  <c r="S29" i="3"/>
  <c r="N29" i="3" s="1"/>
  <c r="T29" i="3"/>
  <c r="AE30" i="3" l="1"/>
  <c r="AM30" i="3"/>
  <c r="C30" i="3" s="1"/>
  <c r="D30" i="3" s="1"/>
  <c r="AK65" i="3"/>
  <c r="AL64" i="3"/>
  <c r="AF31" i="3"/>
  <c r="AH30" i="3"/>
  <c r="AI30" i="3" s="1"/>
  <c r="W28" i="3"/>
  <c r="X28" i="3" s="1"/>
  <c r="AA28" i="3" s="1"/>
  <c r="H29" i="3"/>
  <c r="I29" i="3" s="1"/>
  <c r="L29" i="3" s="1"/>
  <c r="W29" i="3"/>
  <c r="X29" i="3" s="1"/>
  <c r="AA29" i="3" s="1"/>
  <c r="AK66" i="3" l="1"/>
  <c r="AK67" i="3" s="1"/>
  <c r="AK68" i="3" s="1"/>
  <c r="AK69" i="3" s="1"/>
  <c r="AK70" i="3" s="1"/>
  <c r="AK71" i="3" s="1"/>
  <c r="AK72" i="3" s="1"/>
  <c r="AK73" i="3" s="1"/>
  <c r="AK74" i="3" s="1"/>
  <c r="AK75" i="3" s="1"/>
  <c r="AK76" i="3" s="1"/>
  <c r="AK77" i="3" s="1"/>
  <c r="AE31" i="3"/>
  <c r="AM31" i="3"/>
  <c r="C31" i="3" s="1"/>
  <c r="D31" i="3" s="1"/>
  <c r="AL65" i="3"/>
  <c r="AF32" i="3"/>
  <c r="AH31" i="3"/>
  <c r="AI31" i="3" s="1"/>
  <c r="E30" i="3"/>
  <c r="R30" i="3"/>
  <c r="S30" i="3" s="1"/>
  <c r="N30" i="3" s="1"/>
  <c r="F30" i="3"/>
  <c r="AE32" i="3" l="1"/>
  <c r="AM32" i="3"/>
  <c r="C32" i="3" s="1"/>
  <c r="D32" i="3" s="1"/>
  <c r="AF33" i="3"/>
  <c r="AL66" i="3"/>
  <c r="AH32" i="3"/>
  <c r="AI32" i="3" s="1"/>
  <c r="T30" i="3"/>
  <c r="H30" i="3"/>
  <c r="I30" i="3" s="1"/>
  <c r="L30" i="3" s="1"/>
  <c r="R31" i="3"/>
  <c r="U31" i="3" s="1"/>
  <c r="U30" i="3"/>
  <c r="F31" i="3"/>
  <c r="E31" i="3"/>
  <c r="AE33" i="3" l="1"/>
  <c r="AM33" i="3"/>
  <c r="C33" i="3" s="1"/>
  <c r="D33" i="3" s="1"/>
  <c r="AF34" i="3"/>
  <c r="AF35" i="3" s="1"/>
  <c r="AH33" i="3"/>
  <c r="AI33" i="3" s="1"/>
  <c r="AL67" i="3"/>
  <c r="H31" i="3"/>
  <c r="I31" i="3" s="1"/>
  <c r="L31" i="3" s="1"/>
  <c r="S31" i="3"/>
  <c r="N31" i="3" s="1"/>
  <c r="T31" i="3"/>
  <c r="R32" i="3"/>
  <c r="U32" i="3" s="1"/>
  <c r="W30" i="3"/>
  <c r="X30" i="3" s="1"/>
  <c r="AA30" i="3" s="1"/>
  <c r="E32" i="3"/>
  <c r="F32" i="3"/>
  <c r="AE34" i="3" l="1"/>
  <c r="AM34" i="3"/>
  <c r="C34" i="3" s="1"/>
  <c r="D34" i="3" s="1"/>
  <c r="AE35" i="3"/>
  <c r="AM35" i="3"/>
  <c r="AH34" i="3"/>
  <c r="AI34" i="3" s="1"/>
  <c r="AL68" i="3"/>
  <c r="W31" i="3"/>
  <c r="X31" i="3" s="1"/>
  <c r="AA31" i="3" s="1"/>
  <c r="T32" i="3"/>
  <c r="S32" i="3"/>
  <c r="N32" i="3" s="1"/>
  <c r="H32" i="3"/>
  <c r="I32" i="3" s="1"/>
  <c r="L32" i="3" s="1"/>
  <c r="F33" i="3"/>
  <c r="E33" i="3"/>
  <c r="R33" i="3"/>
  <c r="U33" i="3" s="1"/>
  <c r="AF36" i="3"/>
  <c r="AH35" i="3"/>
  <c r="AI35" i="3" s="1"/>
  <c r="AE36" i="3" l="1"/>
  <c r="AM36" i="3"/>
  <c r="AL69" i="3"/>
  <c r="W32" i="3"/>
  <c r="X32" i="3" s="1"/>
  <c r="AA32" i="3" s="1"/>
  <c r="S33" i="3"/>
  <c r="N33" i="3" s="1"/>
  <c r="H33" i="3"/>
  <c r="I33" i="3" s="1"/>
  <c r="L33" i="3" s="1"/>
  <c r="T33" i="3"/>
  <c r="E34" i="3"/>
  <c r="F34" i="3"/>
  <c r="R34" i="3"/>
  <c r="U34" i="3" s="1"/>
  <c r="C35" i="3"/>
  <c r="R35" i="3" s="1"/>
  <c r="AH36" i="3"/>
  <c r="AI36" i="3" s="1"/>
  <c r="AF37" i="3"/>
  <c r="AE37" i="3" l="1"/>
  <c r="AM37" i="3"/>
  <c r="AL70" i="3"/>
  <c r="W33" i="3"/>
  <c r="X33" i="3" s="1"/>
  <c r="AA33" i="3" s="1"/>
  <c r="S34" i="3"/>
  <c r="N34" i="3" s="1"/>
  <c r="T34" i="3"/>
  <c r="E35" i="3"/>
  <c r="D35" i="3"/>
  <c r="H34" i="3"/>
  <c r="I34" i="3" s="1"/>
  <c r="L34" i="3" s="1"/>
  <c r="F35" i="3"/>
  <c r="C36" i="3"/>
  <c r="F36" i="3" s="1"/>
  <c r="U35" i="3"/>
  <c r="S35" i="3"/>
  <c r="T35" i="3"/>
  <c r="AF38" i="3"/>
  <c r="AH37" i="3"/>
  <c r="AI37" i="3" s="1"/>
  <c r="N35" i="3" l="1"/>
  <c r="AE38" i="3"/>
  <c r="AM38" i="3"/>
  <c r="AL71" i="3"/>
  <c r="W34" i="3"/>
  <c r="X34" i="3" s="1"/>
  <c r="AA34" i="3" s="1"/>
  <c r="R36" i="3"/>
  <c r="U36" i="3" s="1"/>
  <c r="H35" i="3"/>
  <c r="I35" i="3" s="1"/>
  <c r="L35" i="3" s="1"/>
  <c r="D36" i="3"/>
  <c r="E36" i="3"/>
  <c r="C37" i="3"/>
  <c r="E37" i="3" s="1"/>
  <c r="W35" i="3"/>
  <c r="X35" i="3" s="1"/>
  <c r="AA35" i="3" s="1"/>
  <c r="AH38" i="3"/>
  <c r="AI38" i="3" s="1"/>
  <c r="AF39" i="3"/>
  <c r="AE39" i="3" l="1"/>
  <c r="AM39" i="3"/>
  <c r="AL72" i="3"/>
  <c r="S36" i="3"/>
  <c r="N36" i="3" s="1"/>
  <c r="T36" i="3"/>
  <c r="H36" i="3"/>
  <c r="I36" i="3" s="1"/>
  <c r="L36" i="3" s="1"/>
  <c r="F37" i="3"/>
  <c r="D37" i="3"/>
  <c r="R37" i="3"/>
  <c r="T37" i="3" s="1"/>
  <c r="C38" i="3"/>
  <c r="F38" i="3" s="1"/>
  <c r="AF40" i="3"/>
  <c r="AH39" i="3"/>
  <c r="AI39" i="3" s="1"/>
  <c r="AE40" i="3" l="1"/>
  <c r="AM40" i="3"/>
  <c r="AL73" i="3"/>
  <c r="H37" i="3"/>
  <c r="I37" i="3" s="1"/>
  <c r="L37" i="3" s="1"/>
  <c r="W36" i="3"/>
  <c r="X36" i="3" s="1"/>
  <c r="AA36" i="3" s="1"/>
  <c r="S37" i="3"/>
  <c r="N37" i="3" s="1"/>
  <c r="U37" i="3"/>
  <c r="R38" i="3"/>
  <c r="S38" i="3" s="1"/>
  <c r="N38" i="3" s="1"/>
  <c r="E38" i="3"/>
  <c r="D38" i="3"/>
  <c r="C39" i="3"/>
  <c r="F39" i="3" s="1"/>
  <c r="AF41" i="3"/>
  <c r="AH40" i="3"/>
  <c r="AI40" i="3" s="1"/>
  <c r="AE41" i="3" l="1"/>
  <c r="AM41" i="3"/>
  <c r="AL74" i="3"/>
  <c r="T38" i="3"/>
  <c r="U38" i="3"/>
  <c r="W37" i="3"/>
  <c r="X37" i="3" s="1"/>
  <c r="H38" i="3"/>
  <c r="I38" i="3" s="1"/>
  <c r="L38" i="3" s="1"/>
  <c r="D39" i="3"/>
  <c r="E39" i="3"/>
  <c r="R39" i="3"/>
  <c r="T39" i="3" s="1"/>
  <c r="C40" i="3"/>
  <c r="E40" i="3" s="1"/>
  <c r="AH41" i="3"/>
  <c r="AG42" i="3" s="1"/>
  <c r="AG43" i="3" s="1"/>
  <c r="AG44" i="3" s="1"/>
  <c r="AG45" i="3" s="1"/>
  <c r="AG46" i="3" s="1"/>
  <c r="AG47" i="3" s="1"/>
  <c r="AG48" i="3" s="1"/>
  <c r="AG49" i="3" s="1"/>
  <c r="AG50" i="3" s="1"/>
  <c r="AG51" i="3" s="1"/>
  <c r="AG52" i="3" s="1"/>
  <c r="AG53" i="3" s="1"/>
  <c r="AL75" i="3" l="1"/>
  <c r="W38" i="3"/>
  <c r="X38" i="3" s="1"/>
  <c r="AA38" i="3" s="1"/>
  <c r="AA37" i="3"/>
  <c r="H39" i="3"/>
  <c r="I39" i="3" s="1"/>
  <c r="L39" i="3" s="1"/>
  <c r="S39" i="3"/>
  <c r="N39" i="3" s="1"/>
  <c r="U39" i="3"/>
  <c r="F40" i="3"/>
  <c r="R40" i="3"/>
  <c r="U40" i="3" s="1"/>
  <c r="D40" i="3"/>
  <c r="C41" i="3"/>
  <c r="E41" i="3" s="1"/>
  <c r="AI41" i="3"/>
  <c r="AF42" i="3"/>
  <c r="AE42" i="3" l="1"/>
  <c r="AM42" i="3"/>
  <c r="AL76" i="3"/>
  <c r="W39" i="3"/>
  <c r="X39" i="3" s="1"/>
  <c r="T40" i="3"/>
  <c r="S40" i="3"/>
  <c r="N40" i="3" s="1"/>
  <c r="H40" i="3"/>
  <c r="I40" i="3" s="1"/>
  <c r="L40" i="3" s="1"/>
  <c r="R41" i="3"/>
  <c r="S41" i="3" s="1"/>
  <c r="N41" i="3" s="1"/>
  <c r="D41" i="3"/>
  <c r="F41" i="3"/>
  <c r="AF43" i="3"/>
  <c r="AH42" i="3"/>
  <c r="AI42" i="3" s="1"/>
  <c r="AE43" i="3" l="1"/>
  <c r="AM43" i="3"/>
  <c r="AA39" i="3"/>
  <c r="AL77" i="3"/>
  <c r="AK78" i="3" s="1"/>
  <c r="W40" i="3"/>
  <c r="X40" i="3" s="1"/>
  <c r="AA40" i="3" s="1"/>
  <c r="U41" i="3"/>
  <c r="T41" i="3"/>
  <c r="H41" i="3"/>
  <c r="I41" i="3" s="1"/>
  <c r="L41" i="3" s="1"/>
  <c r="C42" i="3"/>
  <c r="D42" i="3" s="1"/>
  <c r="AF44" i="3"/>
  <c r="AH43" i="3"/>
  <c r="AI43" i="3" s="1"/>
  <c r="AE44" i="3" l="1"/>
  <c r="AM44" i="3"/>
  <c r="AK79" i="3"/>
  <c r="AL78" i="3"/>
  <c r="E42" i="3"/>
  <c r="W41" i="3"/>
  <c r="X41" i="3" s="1"/>
  <c r="R42" i="3"/>
  <c r="U42" i="3" s="1"/>
  <c r="F42" i="3"/>
  <c r="C43" i="3"/>
  <c r="F43" i="3" s="1"/>
  <c r="AH44" i="3"/>
  <c r="AI44" i="3" s="1"/>
  <c r="AF45" i="3"/>
  <c r="AE45" i="3" l="1"/>
  <c r="AM45" i="3"/>
  <c r="AK80" i="3"/>
  <c r="AL79" i="3"/>
  <c r="T42" i="3"/>
  <c r="S42" i="3"/>
  <c r="N42" i="3" s="1"/>
  <c r="AA41" i="3"/>
  <c r="H42" i="3"/>
  <c r="I42" i="3" s="1"/>
  <c r="L42" i="3" s="1"/>
  <c r="D43" i="3"/>
  <c r="R43" i="3"/>
  <c r="U43" i="3" s="1"/>
  <c r="E43" i="3"/>
  <c r="C44" i="3"/>
  <c r="F44" i="3" s="1"/>
  <c r="AF46" i="3"/>
  <c r="AH45" i="3"/>
  <c r="AI45" i="3" s="1"/>
  <c r="W42" i="3" l="1"/>
  <c r="X42" i="3" s="1"/>
  <c r="AA42" i="3" s="1"/>
  <c r="AE46" i="3"/>
  <c r="AM46" i="3"/>
  <c r="AK81" i="3"/>
  <c r="AL80" i="3"/>
  <c r="T43" i="3"/>
  <c r="S43" i="3"/>
  <c r="N43" i="3" s="1"/>
  <c r="H43" i="3"/>
  <c r="I43" i="3" s="1"/>
  <c r="L43" i="3" s="1"/>
  <c r="R44" i="3"/>
  <c r="U44" i="3" s="1"/>
  <c r="E44" i="3"/>
  <c r="D44" i="3"/>
  <c r="C45" i="3"/>
  <c r="F45" i="3" s="1"/>
  <c r="AF47" i="3"/>
  <c r="AH46" i="3"/>
  <c r="AI46" i="3" s="1"/>
  <c r="AE47" i="3" l="1"/>
  <c r="AM47" i="3"/>
  <c r="W43" i="3"/>
  <c r="X43" i="3" s="1"/>
  <c r="AA43" i="3" s="1"/>
  <c r="AK82" i="3"/>
  <c r="AL81" i="3"/>
  <c r="T44" i="3"/>
  <c r="S44" i="3"/>
  <c r="N44" i="3" s="1"/>
  <c r="H44" i="3"/>
  <c r="I44" i="3" s="1"/>
  <c r="L44" i="3" s="1"/>
  <c r="E45" i="3"/>
  <c r="R45" i="3"/>
  <c r="T45" i="3" s="1"/>
  <c r="D45" i="3"/>
  <c r="C46" i="3"/>
  <c r="E46" i="3" s="1"/>
  <c r="AF48" i="3"/>
  <c r="AH47" i="3"/>
  <c r="AI47" i="3" s="1"/>
  <c r="AE48" i="3" l="1"/>
  <c r="AM48" i="3"/>
  <c r="W44" i="3"/>
  <c r="X44" i="3" s="1"/>
  <c r="AA44" i="3" s="1"/>
  <c r="AK83" i="3"/>
  <c r="AL82" i="3"/>
  <c r="R46" i="3"/>
  <c r="S46" i="3" s="1"/>
  <c r="N46" i="3" s="1"/>
  <c r="S45" i="3"/>
  <c r="N45" i="3" s="1"/>
  <c r="H45" i="3"/>
  <c r="I45" i="3" s="1"/>
  <c r="L45" i="3" s="1"/>
  <c r="F46" i="3"/>
  <c r="U45" i="3"/>
  <c r="D46" i="3"/>
  <c r="C47" i="3"/>
  <c r="R47" i="3" s="1"/>
  <c r="AF49" i="3"/>
  <c r="AH48" i="3"/>
  <c r="AI48" i="3" s="1"/>
  <c r="AE49" i="3" l="1"/>
  <c r="AM49" i="3"/>
  <c r="U46" i="3"/>
  <c r="T46" i="3"/>
  <c r="AK84" i="3"/>
  <c r="AL83" i="3"/>
  <c r="H46" i="3"/>
  <c r="I46" i="3" s="1"/>
  <c r="L46" i="3" s="1"/>
  <c r="W45" i="3"/>
  <c r="X45" i="3" s="1"/>
  <c r="AA45" i="3" s="1"/>
  <c r="F47" i="3"/>
  <c r="E47" i="3"/>
  <c r="D47" i="3"/>
  <c r="C48" i="3"/>
  <c r="E48" i="3" s="1"/>
  <c r="S47" i="3"/>
  <c r="N47" i="3" s="1"/>
  <c r="T47" i="3"/>
  <c r="U47" i="3"/>
  <c r="AF50" i="3"/>
  <c r="AH49" i="3"/>
  <c r="AI49" i="3" s="1"/>
  <c r="W46" i="3" l="1"/>
  <c r="X46" i="3" s="1"/>
  <c r="AA46" i="3" s="1"/>
  <c r="AE50" i="3"/>
  <c r="AM50" i="3"/>
  <c r="AK85" i="3"/>
  <c r="AL84" i="3"/>
  <c r="H47" i="3"/>
  <c r="I47" i="3" s="1"/>
  <c r="L47" i="3" s="1"/>
  <c r="R48" i="3"/>
  <c r="U48" i="3" s="1"/>
  <c r="F48" i="3"/>
  <c r="D48" i="3"/>
  <c r="C49" i="3"/>
  <c r="F49" i="3" s="1"/>
  <c r="W47" i="3"/>
  <c r="X47" i="3" s="1"/>
  <c r="AA47" i="3" s="1"/>
  <c r="AH50" i="3"/>
  <c r="AI50" i="3" s="1"/>
  <c r="AF51" i="3"/>
  <c r="AE51" i="3" l="1"/>
  <c r="AM51" i="3"/>
  <c r="AK86" i="3"/>
  <c r="AL85" i="3"/>
  <c r="T48" i="3"/>
  <c r="S48" i="3"/>
  <c r="N48" i="3" s="1"/>
  <c r="H48" i="3"/>
  <c r="I48" i="3" s="1"/>
  <c r="L48" i="3" s="1"/>
  <c r="D49" i="3"/>
  <c r="E49" i="3"/>
  <c r="R49" i="3"/>
  <c r="T49" i="3" s="1"/>
  <c r="C50" i="3"/>
  <c r="R50" i="3" s="1"/>
  <c r="AH51" i="3"/>
  <c r="AI51" i="3" s="1"/>
  <c r="AF52" i="3"/>
  <c r="AE52" i="3" l="1"/>
  <c r="AM52" i="3"/>
  <c r="AK87" i="3"/>
  <c r="AL86" i="3"/>
  <c r="W48" i="3"/>
  <c r="X48" i="3" s="1"/>
  <c r="AA48" i="3" s="1"/>
  <c r="D50" i="3"/>
  <c r="E50" i="3"/>
  <c r="H49" i="3"/>
  <c r="I49" i="3" s="1"/>
  <c r="L49" i="3" s="1"/>
  <c r="S49" i="3"/>
  <c r="N49" i="3" s="1"/>
  <c r="F50" i="3"/>
  <c r="U49" i="3"/>
  <c r="C51" i="3"/>
  <c r="D51" i="3" s="1"/>
  <c r="U50" i="3"/>
  <c r="S50" i="3"/>
  <c r="N50" i="3" s="1"/>
  <c r="T50" i="3"/>
  <c r="AH52" i="3"/>
  <c r="AI52" i="3" s="1"/>
  <c r="AF53" i="3"/>
  <c r="AE53" i="3" l="1"/>
  <c r="AM53" i="3"/>
  <c r="AK88" i="3"/>
  <c r="AL87" i="3"/>
  <c r="H50" i="3"/>
  <c r="I50" i="3" s="1"/>
  <c r="L50" i="3" s="1"/>
  <c r="W49" i="3"/>
  <c r="X49" i="3" s="1"/>
  <c r="AA49" i="3" s="1"/>
  <c r="R51" i="3"/>
  <c r="U51" i="3" s="1"/>
  <c r="E51" i="3"/>
  <c r="W50" i="3"/>
  <c r="X50" i="3" s="1"/>
  <c r="AA50" i="3" s="1"/>
  <c r="F51" i="3"/>
  <c r="C52" i="3"/>
  <c r="F52" i="3" s="1"/>
  <c r="AH53" i="3"/>
  <c r="AG54" i="3" s="1"/>
  <c r="AG55" i="3" s="1"/>
  <c r="AG56" i="3" s="1"/>
  <c r="AK89" i="3" l="1"/>
  <c r="AL88" i="3"/>
  <c r="T51" i="3"/>
  <c r="S51" i="3"/>
  <c r="N51" i="3" s="1"/>
  <c r="E52" i="3"/>
  <c r="H51" i="3"/>
  <c r="I51" i="3" s="1"/>
  <c r="L51" i="3" s="1"/>
  <c r="D52" i="3"/>
  <c r="R52" i="3"/>
  <c r="S52" i="3" s="1"/>
  <c r="N52" i="3" s="1"/>
  <c r="C53" i="3"/>
  <c r="F53" i="3" s="1"/>
  <c r="AI53" i="3"/>
  <c r="AF54" i="3"/>
  <c r="AK90" i="3" l="1"/>
  <c r="AE54" i="3"/>
  <c r="AM54" i="3"/>
  <c r="AL89" i="3"/>
  <c r="R53" i="3"/>
  <c r="S53" i="3" s="1"/>
  <c r="N53" i="3" s="1"/>
  <c r="W51" i="3"/>
  <c r="X51" i="3" s="1"/>
  <c r="AA51" i="3" s="1"/>
  <c r="H52" i="3"/>
  <c r="I52" i="3" s="1"/>
  <c r="L52" i="3" s="1"/>
  <c r="E53" i="3"/>
  <c r="T52" i="3"/>
  <c r="U52" i="3"/>
  <c r="D53" i="3"/>
  <c r="AF55" i="3"/>
  <c r="AH54" i="3"/>
  <c r="AI54" i="3" s="1"/>
  <c r="AE55" i="3" l="1"/>
  <c r="AM55" i="3"/>
  <c r="U53" i="3"/>
  <c r="AK91" i="3"/>
  <c r="AL90" i="3"/>
  <c r="T53" i="3"/>
  <c r="W52" i="3"/>
  <c r="X52" i="3" s="1"/>
  <c r="AA52" i="3" s="1"/>
  <c r="H53" i="3"/>
  <c r="I53" i="3" s="1"/>
  <c r="L53" i="3" s="1"/>
  <c r="C54" i="3"/>
  <c r="D54" i="3" s="1"/>
  <c r="AH55" i="3"/>
  <c r="AI55" i="3" s="1"/>
  <c r="AF56" i="3"/>
  <c r="W53" i="3" l="1"/>
  <c r="X53" i="3" s="1"/>
  <c r="AA53" i="3" s="1"/>
  <c r="AE56" i="3"/>
  <c r="AM56" i="3"/>
  <c r="AK92" i="3"/>
  <c r="AL91" i="3"/>
  <c r="R54" i="3"/>
  <c r="U54" i="3" s="1"/>
  <c r="F54" i="3"/>
  <c r="E54" i="3"/>
  <c r="C55" i="3"/>
  <c r="R55" i="3" s="1"/>
  <c r="AH56" i="3"/>
  <c r="AI56" i="3" s="1"/>
  <c r="AF57" i="3"/>
  <c r="AE57" i="3" l="1"/>
  <c r="AM57" i="3"/>
  <c r="S54" i="3"/>
  <c r="N54" i="3" s="1"/>
  <c r="AK93" i="3"/>
  <c r="AL92" i="3"/>
  <c r="T54" i="3"/>
  <c r="H54" i="3"/>
  <c r="I54" i="3" s="1"/>
  <c r="L54" i="3" s="1"/>
  <c r="E55" i="3"/>
  <c r="F55" i="3"/>
  <c r="D55" i="3"/>
  <c r="C56" i="3"/>
  <c r="F56" i="3" s="1"/>
  <c r="AH57" i="3"/>
  <c r="AI57" i="3" s="1"/>
  <c r="AF58" i="3"/>
  <c r="U55" i="3"/>
  <c r="T55" i="3"/>
  <c r="S55" i="3"/>
  <c r="N55" i="3" s="1"/>
  <c r="AE58" i="3" l="1"/>
  <c r="AM58" i="3"/>
  <c r="W54" i="3"/>
  <c r="X54" i="3" s="1"/>
  <c r="AA54" i="3" s="1"/>
  <c r="AK94" i="3"/>
  <c r="AL93" i="3"/>
  <c r="H55" i="3"/>
  <c r="I55" i="3" s="1"/>
  <c r="L55" i="3" s="1"/>
  <c r="E56" i="3"/>
  <c r="R56" i="3"/>
  <c r="S56" i="3" s="1"/>
  <c r="N56" i="3" s="1"/>
  <c r="D56" i="3"/>
  <c r="W55" i="3"/>
  <c r="X55" i="3" s="1"/>
  <c r="AA55" i="3" s="1"/>
  <c r="AF59" i="3"/>
  <c r="AH58" i="3"/>
  <c r="AI58" i="3" s="1"/>
  <c r="U56" i="3" l="1"/>
  <c r="AE59" i="3"/>
  <c r="AM59" i="3"/>
  <c r="AK95" i="3"/>
  <c r="AL94" i="3"/>
  <c r="H56" i="3"/>
  <c r="I56" i="3" s="1"/>
  <c r="L56" i="3" s="1"/>
  <c r="T56" i="3"/>
  <c r="AF60" i="3"/>
  <c r="AH59" i="3"/>
  <c r="AI59" i="3" s="1"/>
  <c r="W56" i="3" l="1"/>
  <c r="X56" i="3" s="1"/>
  <c r="AA56" i="3" s="1"/>
  <c r="AE60" i="3"/>
  <c r="AM60" i="3"/>
  <c r="AK96" i="3"/>
  <c r="AL95" i="3"/>
  <c r="AF61" i="3"/>
  <c r="AH60" i="3"/>
  <c r="AI60" i="3" s="1"/>
  <c r="AE61" i="3" l="1"/>
  <c r="AM61" i="3"/>
  <c r="AK97" i="3"/>
  <c r="AL96" i="3"/>
  <c r="AF62" i="3"/>
  <c r="AH61" i="3"/>
  <c r="AI61" i="3" s="1"/>
  <c r="AE62" i="3" l="1"/>
  <c r="AM62" i="3"/>
  <c r="AK98" i="3"/>
  <c r="AL97" i="3"/>
  <c r="AH62" i="3"/>
  <c r="AI62" i="3" s="1"/>
  <c r="AF63" i="3"/>
  <c r="AE63" i="3" l="1"/>
  <c r="AM63" i="3"/>
  <c r="AK99" i="3"/>
  <c r="AL98" i="3"/>
  <c r="AF64" i="3"/>
  <c r="AH63" i="3"/>
  <c r="AI63" i="3" s="1"/>
  <c r="AE64" i="3" l="1"/>
  <c r="AM64" i="3"/>
  <c r="AK100" i="3"/>
  <c r="AL99" i="3"/>
  <c r="AF65" i="3"/>
  <c r="AH64" i="3"/>
  <c r="AI64" i="3" s="1"/>
  <c r="AE65" i="3" l="1"/>
  <c r="AM65" i="3"/>
  <c r="AK101" i="3"/>
  <c r="AL100" i="3"/>
  <c r="AH65" i="3"/>
  <c r="AG66" i="3" s="1"/>
  <c r="AG67" i="3" s="1"/>
  <c r="AG68" i="3" s="1"/>
  <c r="AG69" i="3" s="1"/>
  <c r="AG70" i="3" s="1"/>
  <c r="AG71" i="3" s="1"/>
  <c r="AG72" i="3" s="1"/>
  <c r="AG73" i="3" s="1"/>
  <c r="AG74" i="3" s="1"/>
  <c r="AG75" i="3" s="1"/>
  <c r="AG76" i="3" s="1"/>
  <c r="AG77" i="3" s="1"/>
  <c r="AK102" i="3" l="1"/>
  <c r="AL101" i="3"/>
  <c r="AI65" i="3"/>
  <c r="AF66" i="3"/>
  <c r="AE66" i="3" l="1"/>
  <c r="AM66" i="3"/>
  <c r="AL102" i="3"/>
  <c r="AK103" i="3"/>
  <c r="AH66" i="3"/>
  <c r="AI66" i="3" s="1"/>
  <c r="AF67" i="3"/>
  <c r="AE67" i="3" l="1"/>
  <c r="AM67" i="3"/>
  <c r="AK104" i="3"/>
  <c r="AL103" i="3"/>
  <c r="C66" i="3"/>
  <c r="R66" i="3" s="1"/>
  <c r="AH67" i="3"/>
  <c r="AI67" i="3" s="1"/>
  <c r="AF68" i="3"/>
  <c r="AE68" i="3" l="1"/>
  <c r="AM68" i="3"/>
  <c r="AK105" i="3"/>
  <c r="AL104" i="3"/>
  <c r="E66" i="3"/>
  <c r="F66" i="3"/>
  <c r="D66" i="3"/>
  <c r="C67" i="3"/>
  <c r="E67" i="3" s="1"/>
  <c r="AH68" i="3"/>
  <c r="AI68" i="3" s="1"/>
  <c r="AF69" i="3"/>
  <c r="U66" i="3"/>
  <c r="S66" i="3"/>
  <c r="T66" i="3"/>
  <c r="N66" i="3" l="1"/>
  <c r="AE69" i="3"/>
  <c r="AM69" i="3"/>
  <c r="AK106" i="3"/>
  <c r="AL105" i="3"/>
  <c r="H66" i="3"/>
  <c r="I66" i="3" s="1"/>
  <c r="L66" i="3" s="1"/>
  <c r="D67" i="3"/>
  <c r="F67" i="3"/>
  <c r="R67" i="3"/>
  <c r="T67" i="3" s="1"/>
  <c r="W66" i="3"/>
  <c r="X66" i="3" s="1"/>
  <c r="AA66" i="3" s="1"/>
  <c r="C68" i="3"/>
  <c r="F68" i="3" s="1"/>
  <c r="AF70" i="3"/>
  <c r="AH69" i="3"/>
  <c r="AI69" i="3" s="1"/>
  <c r="AE70" i="3" l="1"/>
  <c r="AM70" i="3"/>
  <c r="AK107" i="3"/>
  <c r="AL106" i="3"/>
  <c r="R68" i="3"/>
  <c r="S68" i="3" s="1"/>
  <c r="S67" i="3"/>
  <c r="N67" i="3" s="1"/>
  <c r="H67" i="3"/>
  <c r="I67" i="3" s="1"/>
  <c r="L67" i="3" s="1"/>
  <c r="E68" i="3"/>
  <c r="U67" i="3"/>
  <c r="D68" i="3"/>
  <c r="C69" i="3"/>
  <c r="D69" i="3" s="1"/>
  <c r="AH70" i="3"/>
  <c r="AI70" i="3" s="1"/>
  <c r="AF71" i="3"/>
  <c r="N68" i="3" l="1"/>
  <c r="AE71" i="3"/>
  <c r="AM71" i="3"/>
  <c r="AK108" i="3"/>
  <c r="AL107" i="3"/>
  <c r="U68" i="3"/>
  <c r="T68" i="3"/>
  <c r="W67" i="3"/>
  <c r="X67" i="3" s="1"/>
  <c r="AA67" i="3" s="1"/>
  <c r="H68" i="3"/>
  <c r="I68" i="3" s="1"/>
  <c r="L68" i="3" s="1"/>
  <c r="R69" i="3"/>
  <c r="T69" i="3" s="1"/>
  <c r="E69" i="3"/>
  <c r="F69" i="3"/>
  <c r="C70" i="3"/>
  <c r="D70" i="3" s="1"/>
  <c r="AH71" i="3"/>
  <c r="AI71" i="3" s="1"/>
  <c r="AF72" i="3"/>
  <c r="W68" i="3" l="1"/>
  <c r="X68" i="3" s="1"/>
  <c r="AA68" i="3" s="1"/>
  <c r="AE72" i="3"/>
  <c r="AM72" i="3"/>
  <c r="AK109" i="3"/>
  <c r="AL108" i="3"/>
  <c r="S69" i="3"/>
  <c r="N69" i="3" s="1"/>
  <c r="U69" i="3"/>
  <c r="H69" i="3"/>
  <c r="I69" i="3" s="1"/>
  <c r="L69" i="3" s="1"/>
  <c r="E70" i="3"/>
  <c r="R70" i="3"/>
  <c r="U70" i="3" s="1"/>
  <c r="F70" i="3"/>
  <c r="C71" i="3"/>
  <c r="E71" i="3" s="1"/>
  <c r="AH72" i="3"/>
  <c r="AI72" i="3" s="1"/>
  <c r="AF73" i="3"/>
  <c r="AE73" i="3" l="1"/>
  <c r="AM73" i="3"/>
  <c r="AK110" i="3"/>
  <c r="AL109" i="3"/>
  <c r="W69" i="3"/>
  <c r="X69" i="3" s="1"/>
  <c r="AA69" i="3" s="1"/>
  <c r="H70" i="3"/>
  <c r="I70" i="3" s="1"/>
  <c r="L70" i="3" s="1"/>
  <c r="T70" i="3"/>
  <c r="S70" i="3"/>
  <c r="N70" i="3" s="1"/>
  <c r="R71" i="3"/>
  <c r="T71" i="3" s="1"/>
  <c r="F71" i="3"/>
  <c r="D71" i="3"/>
  <c r="C72" i="3"/>
  <c r="D72" i="3" s="1"/>
  <c r="AH73" i="3"/>
  <c r="AI73" i="3" s="1"/>
  <c r="AF74" i="3"/>
  <c r="AE74" i="3" l="1"/>
  <c r="AM74" i="3"/>
  <c r="AK111" i="3"/>
  <c r="AL110" i="3"/>
  <c r="W70" i="3"/>
  <c r="X70" i="3" s="1"/>
  <c r="AA70" i="3" s="1"/>
  <c r="U71" i="3"/>
  <c r="S71" i="3"/>
  <c r="N71" i="3" s="1"/>
  <c r="H71" i="3"/>
  <c r="I71" i="3" s="1"/>
  <c r="L71" i="3" s="1"/>
  <c r="F72" i="3"/>
  <c r="R72" i="3"/>
  <c r="T72" i="3" s="1"/>
  <c r="E72" i="3"/>
  <c r="C73" i="3"/>
  <c r="D73" i="3" s="1"/>
  <c r="AF75" i="3"/>
  <c r="AH74" i="3"/>
  <c r="AI74" i="3" s="1"/>
  <c r="AE75" i="3" l="1"/>
  <c r="AM75" i="3"/>
  <c r="AK112" i="3"/>
  <c r="AL111" i="3"/>
  <c r="W71" i="3"/>
  <c r="X71" i="3" s="1"/>
  <c r="AA71" i="3" s="1"/>
  <c r="S72" i="3"/>
  <c r="N72" i="3" s="1"/>
  <c r="U72" i="3"/>
  <c r="H72" i="3"/>
  <c r="I72" i="3" s="1"/>
  <c r="L72" i="3" s="1"/>
  <c r="E73" i="3"/>
  <c r="F73" i="3"/>
  <c r="R73" i="3"/>
  <c r="U73" i="3" s="1"/>
  <c r="C74" i="3"/>
  <c r="E74" i="3" s="1"/>
  <c r="AF76" i="3"/>
  <c r="AH75" i="3"/>
  <c r="AI75" i="3" s="1"/>
  <c r="AE76" i="3" l="1"/>
  <c r="AM76" i="3"/>
  <c r="AK113" i="3"/>
  <c r="AL112" i="3"/>
  <c r="W72" i="3"/>
  <c r="X72" i="3" s="1"/>
  <c r="AA72" i="3" s="1"/>
  <c r="H73" i="3"/>
  <c r="I73" i="3" s="1"/>
  <c r="L73" i="3" s="1"/>
  <c r="R74" i="3"/>
  <c r="T74" i="3" s="1"/>
  <c r="T73" i="3"/>
  <c r="S73" i="3"/>
  <c r="N73" i="3" s="1"/>
  <c r="F74" i="3"/>
  <c r="D74" i="3"/>
  <c r="C75" i="3"/>
  <c r="D75" i="3" s="1"/>
  <c r="AF77" i="3"/>
  <c r="AH76" i="3"/>
  <c r="AI76" i="3" s="1"/>
  <c r="AK114" i="3" l="1"/>
  <c r="AE77" i="3"/>
  <c r="AM77" i="3"/>
  <c r="AL113" i="3"/>
  <c r="S74" i="3"/>
  <c r="N74" i="3" s="1"/>
  <c r="W73" i="3"/>
  <c r="X73" i="3" s="1"/>
  <c r="AA73" i="3" s="1"/>
  <c r="U74" i="3"/>
  <c r="H74" i="3"/>
  <c r="I74" i="3" s="1"/>
  <c r="L74" i="3" s="1"/>
  <c r="R75" i="3"/>
  <c r="S75" i="3" s="1"/>
  <c r="N75" i="3" s="1"/>
  <c r="F75" i="3"/>
  <c r="E75" i="3"/>
  <c r="C76" i="3"/>
  <c r="D76" i="3" s="1"/>
  <c r="AH77" i="3"/>
  <c r="AG78" i="3" s="1"/>
  <c r="AG79" i="3" s="1"/>
  <c r="AG80" i="3" s="1"/>
  <c r="AG81" i="3" s="1"/>
  <c r="AG82" i="3" s="1"/>
  <c r="AG83" i="3" s="1"/>
  <c r="AG84" i="3" s="1"/>
  <c r="AG85" i="3" s="1"/>
  <c r="AG86" i="3" s="1"/>
  <c r="AG87" i="3" s="1"/>
  <c r="AG88" i="3" s="1"/>
  <c r="AG89" i="3" s="1"/>
  <c r="W74" i="3" l="1"/>
  <c r="X74" i="3" s="1"/>
  <c r="AA74" i="3" s="1"/>
  <c r="AK115" i="3"/>
  <c r="AL114" i="3"/>
  <c r="U75" i="3"/>
  <c r="T75" i="3"/>
  <c r="H75" i="3"/>
  <c r="I75" i="3" s="1"/>
  <c r="L75" i="3" s="1"/>
  <c r="F76" i="3"/>
  <c r="R76" i="3"/>
  <c r="S76" i="3" s="1"/>
  <c r="N76" i="3" s="1"/>
  <c r="E76" i="3"/>
  <c r="C77" i="3"/>
  <c r="R77" i="3" s="1"/>
  <c r="AI77" i="3"/>
  <c r="AF78" i="3"/>
  <c r="AE78" i="3" l="1"/>
  <c r="AM78" i="3"/>
  <c r="W75" i="3"/>
  <c r="X75" i="3" s="1"/>
  <c r="AA75" i="3" s="1"/>
  <c r="AK116" i="3"/>
  <c r="AL115" i="3"/>
  <c r="H76" i="3"/>
  <c r="I76" i="3" s="1"/>
  <c r="L76" i="3" s="1"/>
  <c r="T76" i="3"/>
  <c r="U76" i="3"/>
  <c r="F77" i="3"/>
  <c r="E77" i="3"/>
  <c r="D77" i="3"/>
  <c r="AF79" i="3"/>
  <c r="AH78" i="3"/>
  <c r="AI78" i="3" s="1"/>
  <c r="U77" i="3"/>
  <c r="S77" i="3"/>
  <c r="N77" i="3" s="1"/>
  <c r="T77" i="3"/>
  <c r="AE79" i="3" l="1"/>
  <c r="AM79" i="3"/>
  <c r="AL116" i="3"/>
  <c r="AK117" i="3"/>
  <c r="W76" i="3"/>
  <c r="X76" i="3" s="1"/>
  <c r="AA76" i="3" s="1"/>
  <c r="H77" i="3"/>
  <c r="I77" i="3" s="1"/>
  <c r="L77" i="3" s="1"/>
  <c r="W77" i="3"/>
  <c r="X77" i="3" s="1"/>
  <c r="AA77" i="3" s="1"/>
  <c r="C78" i="3"/>
  <c r="D78" i="3" s="1"/>
  <c r="AH79" i="3"/>
  <c r="AI79" i="3" s="1"/>
  <c r="AF80" i="3"/>
  <c r="AE80" i="3" l="1"/>
  <c r="AM80" i="3"/>
  <c r="AK118" i="3"/>
  <c r="AL117" i="3"/>
  <c r="R78" i="3"/>
  <c r="U78" i="3" s="1"/>
  <c r="F78" i="3"/>
  <c r="E78" i="3"/>
  <c r="C79" i="3"/>
  <c r="R79" i="3" s="1"/>
  <c r="AH80" i="3"/>
  <c r="AI80" i="3" s="1"/>
  <c r="AF81" i="3"/>
  <c r="AE81" i="3" l="1"/>
  <c r="AM81" i="3"/>
  <c r="AK119" i="3"/>
  <c r="AL118" i="3"/>
  <c r="T78" i="3"/>
  <c r="S78" i="3"/>
  <c r="N78" i="3" s="1"/>
  <c r="H78" i="3"/>
  <c r="I78" i="3" s="1"/>
  <c r="L78" i="3" s="1"/>
  <c r="D79" i="3"/>
  <c r="F79" i="3"/>
  <c r="E79" i="3"/>
  <c r="C80" i="3"/>
  <c r="E80" i="3" s="1"/>
  <c r="U79" i="3"/>
  <c r="T79" i="3"/>
  <c r="S79" i="3"/>
  <c r="N79" i="3" s="1"/>
  <c r="AF82" i="3"/>
  <c r="AH81" i="3"/>
  <c r="AI81" i="3" s="1"/>
  <c r="W78" i="3" l="1"/>
  <c r="X78" i="3" s="1"/>
  <c r="AA78" i="3" s="1"/>
  <c r="AE82" i="3"/>
  <c r="AM82" i="3"/>
  <c r="AK120" i="3"/>
  <c r="AL119" i="3"/>
  <c r="F80" i="3"/>
  <c r="R80" i="3"/>
  <c r="U80" i="3" s="1"/>
  <c r="H79" i="3"/>
  <c r="I79" i="3" s="1"/>
  <c r="L79" i="3" s="1"/>
  <c r="D80" i="3"/>
  <c r="C81" i="3"/>
  <c r="D81" i="3" s="1"/>
  <c r="W79" i="3"/>
  <c r="X79" i="3" s="1"/>
  <c r="AA79" i="3" s="1"/>
  <c r="AF83" i="3"/>
  <c r="AH82" i="3"/>
  <c r="AI82" i="3" s="1"/>
  <c r="AE83" i="3" l="1"/>
  <c r="AM83" i="3"/>
  <c r="AK121" i="3"/>
  <c r="AL120" i="3"/>
  <c r="T80" i="3"/>
  <c r="S80" i="3"/>
  <c r="N80" i="3" s="1"/>
  <c r="H80" i="3"/>
  <c r="I80" i="3" s="1"/>
  <c r="L80" i="3" s="1"/>
  <c r="R81" i="3"/>
  <c r="U81" i="3" s="1"/>
  <c r="E81" i="3"/>
  <c r="F81" i="3"/>
  <c r="C82" i="3"/>
  <c r="F82" i="3" s="1"/>
  <c r="AF84" i="3"/>
  <c r="AH83" i="3"/>
  <c r="AI83" i="3" s="1"/>
  <c r="AE84" i="3" l="1"/>
  <c r="AM84" i="3"/>
  <c r="AK122" i="3"/>
  <c r="AL121" i="3"/>
  <c r="T81" i="3"/>
  <c r="S81" i="3"/>
  <c r="N81" i="3" s="1"/>
  <c r="W80" i="3"/>
  <c r="X80" i="3" s="1"/>
  <c r="AA80" i="3" s="1"/>
  <c r="H81" i="3"/>
  <c r="I81" i="3" s="1"/>
  <c r="L81" i="3" s="1"/>
  <c r="E82" i="3"/>
  <c r="D82" i="3"/>
  <c r="R82" i="3"/>
  <c r="U82" i="3" s="1"/>
  <c r="C83" i="3"/>
  <c r="F83" i="3" s="1"/>
  <c r="AH84" i="3"/>
  <c r="AI84" i="3" s="1"/>
  <c r="AF85" i="3"/>
  <c r="AE85" i="3" l="1"/>
  <c r="AM85" i="3"/>
  <c r="AK123" i="3"/>
  <c r="AK124" i="3" s="1"/>
  <c r="AK125" i="3" s="1"/>
  <c r="AL122" i="3"/>
  <c r="W81" i="3"/>
  <c r="X81" i="3" s="1"/>
  <c r="AA81" i="3" s="1"/>
  <c r="H82" i="3"/>
  <c r="I82" i="3" s="1"/>
  <c r="L82" i="3" s="1"/>
  <c r="T82" i="3"/>
  <c r="S82" i="3"/>
  <c r="N82" i="3" s="1"/>
  <c r="D83" i="3"/>
  <c r="E83" i="3"/>
  <c r="R83" i="3"/>
  <c r="U83" i="3" s="1"/>
  <c r="C84" i="3"/>
  <c r="F84" i="3" s="1"/>
  <c r="AF86" i="3"/>
  <c r="AH85" i="3"/>
  <c r="AI85" i="3" s="1"/>
  <c r="AE86" i="3" l="1"/>
  <c r="AM86" i="3"/>
  <c r="S83" i="3"/>
  <c r="N83" i="3" s="1"/>
  <c r="H83" i="3"/>
  <c r="I83" i="3" s="1"/>
  <c r="L83" i="3" s="1"/>
  <c r="W82" i="3"/>
  <c r="X82" i="3" s="1"/>
  <c r="AA82" i="3" s="1"/>
  <c r="T83" i="3"/>
  <c r="R84" i="3"/>
  <c r="T84" i="3" s="1"/>
  <c r="D84" i="3"/>
  <c r="E84" i="3"/>
  <c r="C85" i="3"/>
  <c r="R85" i="3" s="1"/>
  <c r="AF87" i="3"/>
  <c r="AH86" i="3"/>
  <c r="AI86" i="3" s="1"/>
  <c r="AE87" i="3" l="1"/>
  <c r="AM87" i="3"/>
  <c r="W83" i="3"/>
  <c r="X83" i="3" s="1"/>
  <c r="AA83" i="3" s="1"/>
  <c r="S84" i="3"/>
  <c r="N84" i="3" s="1"/>
  <c r="U84" i="3"/>
  <c r="E85" i="3"/>
  <c r="D85" i="3"/>
  <c r="F85" i="3"/>
  <c r="H84" i="3"/>
  <c r="I84" i="3" s="1"/>
  <c r="L84" i="3" s="1"/>
  <c r="C86" i="3"/>
  <c r="E86" i="3" s="1"/>
  <c r="T85" i="3"/>
  <c r="U85" i="3"/>
  <c r="S85" i="3"/>
  <c r="AF88" i="3"/>
  <c r="AH87" i="3"/>
  <c r="AI87" i="3" s="1"/>
  <c r="N85" i="3" l="1"/>
  <c r="AE88" i="3"/>
  <c r="AM88" i="3"/>
  <c r="W84" i="3"/>
  <c r="X84" i="3" s="1"/>
  <c r="AA84" i="3" s="1"/>
  <c r="H85" i="3"/>
  <c r="I85" i="3" s="1"/>
  <c r="L85" i="3" s="1"/>
  <c r="F86" i="3"/>
  <c r="R86" i="3"/>
  <c r="U86" i="3" s="1"/>
  <c r="D86" i="3"/>
  <c r="W85" i="3"/>
  <c r="X85" i="3" s="1"/>
  <c r="AA85" i="3" s="1"/>
  <c r="C87" i="3"/>
  <c r="R87" i="3" s="1"/>
  <c r="AF89" i="3"/>
  <c r="AH88" i="3"/>
  <c r="AI88" i="3" s="1"/>
  <c r="AE89" i="3" l="1"/>
  <c r="AM89" i="3"/>
  <c r="H86" i="3"/>
  <c r="I86" i="3" s="1"/>
  <c r="L86" i="3" s="1"/>
  <c r="D87" i="3"/>
  <c r="S86" i="3"/>
  <c r="N86" i="3" s="1"/>
  <c r="T86" i="3"/>
  <c r="E87" i="3"/>
  <c r="F87" i="3"/>
  <c r="C88" i="3"/>
  <c r="F88" i="3" s="1"/>
  <c r="T87" i="3"/>
  <c r="U87" i="3"/>
  <c r="S87" i="3"/>
  <c r="N87" i="3" s="1"/>
  <c r="AH89" i="3"/>
  <c r="AG90" i="3" s="1"/>
  <c r="AG91" i="3" s="1"/>
  <c r="AG92" i="3" s="1"/>
  <c r="AG93" i="3" s="1"/>
  <c r="AG94" i="3" s="1"/>
  <c r="AG95" i="3" s="1"/>
  <c r="AG96" i="3" s="1"/>
  <c r="AG97" i="3" s="1"/>
  <c r="AG98" i="3" s="1"/>
  <c r="AG99" i="3" s="1"/>
  <c r="AG100" i="3" s="1"/>
  <c r="AG101" i="3" s="1"/>
  <c r="H87" i="3" l="1"/>
  <c r="I87" i="3" s="1"/>
  <c r="L87" i="3" s="1"/>
  <c r="W86" i="3"/>
  <c r="X86" i="3" s="1"/>
  <c r="AA86" i="3" s="1"/>
  <c r="E88" i="3"/>
  <c r="R88" i="3"/>
  <c r="T88" i="3" s="1"/>
  <c r="D88" i="3"/>
  <c r="C89" i="3"/>
  <c r="R89" i="3" s="1"/>
  <c r="W87" i="3"/>
  <c r="X87" i="3" s="1"/>
  <c r="AA87" i="3" s="1"/>
  <c r="AI89" i="3"/>
  <c r="AF90" i="3"/>
  <c r="AE90" i="3" l="1"/>
  <c r="AM90" i="3"/>
  <c r="S88" i="3"/>
  <c r="N88" i="3" s="1"/>
  <c r="U88" i="3"/>
  <c r="E89" i="3"/>
  <c r="H88" i="3"/>
  <c r="I88" i="3" s="1"/>
  <c r="L88" i="3" s="1"/>
  <c r="D89" i="3"/>
  <c r="F89" i="3"/>
  <c r="T89" i="3"/>
  <c r="U89" i="3"/>
  <c r="S89" i="3"/>
  <c r="N89" i="3" s="1"/>
  <c r="AF91" i="3"/>
  <c r="AH90" i="3"/>
  <c r="AI90" i="3" s="1"/>
  <c r="AE91" i="3" l="1"/>
  <c r="AM91" i="3"/>
  <c r="W88" i="3"/>
  <c r="X88" i="3" s="1"/>
  <c r="AA88" i="3" s="1"/>
  <c r="H89" i="3"/>
  <c r="I89" i="3" s="1"/>
  <c r="L89" i="3" s="1"/>
  <c r="C90" i="3"/>
  <c r="R90" i="3" s="1"/>
  <c r="W89" i="3"/>
  <c r="X89" i="3" s="1"/>
  <c r="AA89" i="3" s="1"/>
  <c r="AH91" i="3"/>
  <c r="AI91" i="3" s="1"/>
  <c r="AF92" i="3"/>
  <c r="AE92" i="3" l="1"/>
  <c r="AM92" i="3"/>
  <c r="F90" i="3"/>
  <c r="E90" i="3"/>
  <c r="D90" i="3"/>
  <c r="C91" i="3"/>
  <c r="D91" i="3" s="1"/>
  <c r="AH92" i="3"/>
  <c r="AI92" i="3" s="1"/>
  <c r="AF93" i="3"/>
  <c r="U90" i="3"/>
  <c r="S90" i="3"/>
  <c r="N90" i="3" s="1"/>
  <c r="T90" i="3"/>
  <c r="AE93" i="3" l="1"/>
  <c r="AM93" i="3"/>
  <c r="H90" i="3"/>
  <c r="I90" i="3" s="1"/>
  <c r="L90" i="3" s="1"/>
  <c r="E91" i="3"/>
  <c r="F91" i="3"/>
  <c r="R91" i="3"/>
  <c r="T91" i="3" s="1"/>
  <c r="C92" i="3"/>
  <c r="D92" i="3" s="1"/>
  <c r="W90" i="3"/>
  <c r="X90" i="3" s="1"/>
  <c r="AA90" i="3" s="1"/>
  <c r="AF94" i="3"/>
  <c r="AH93" i="3"/>
  <c r="AI93" i="3" s="1"/>
  <c r="AE94" i="3" l="1"/>
  <c r="AM94" i="3"/>
  <c r="U91" i="3"/>
  <c r="R92" i="3"/>
  <c r="U92" i="3" s="1"/>
  <c r="H91" i="3"/>
  <c r="I91" i="3" s="1"/>
  <c r="L91" i="3" s="1"/>
  <c r="S91" i="3"/>
  <c r="N91" i="3" s="1"/>
  <c r="E92" i="3"/>
  <c r="F92" i="3"/>
  <c r="C93" i="3"/>
  <c r="D93" i="3" s="1"/>
  <c r="AH94" i="3"/>
  <c r="AI94" i="3" s="1"/>
  <c r="AF95" i="3"/>
  <c r="S92" i="3"/>
  <c r="N92" i="3" s="1"/>
  <c r="T92" i="3" l="1"/>
  <c r="AE95" i="3"/>
  <c r="AM95" i="3"/>
  <c r="W91" i="3"/>
  <c r="X91" i="3" s="1"/>
  <c r="AA91" i="3" s="1"/>
  <c r="H92" i="3"/>
  <c r="I92" i="3" s="1"/>
  <c r="L92" i="3" s="1"/>
  <c r="R93" i="3"/>
  <c r="U93" i="3" s="1"/>
  <c r="E93" i="3"/>
  <c r="F93" i="3"/>
  <c r="W92" i="3"/>
  <c r="X92" i="3" s="1"/>
  <c r="AA92" i="3" s="1"/>
  <c r="C94" i="3"/>
  <c r="R94" i="3" s="1"/>
  <c r="AF96" i="3"/>
  <c r="AH95" i="3"/>
  <c r="AI95" i="3" s="1"/>
  <c r="AE96" i="3" l="1"/>
  <c r="AM96" i="3"/>
  <c r="T93" i="3"/>
  <c r="S93" i="3"/>
  <c r="N93" i="3" s="1"/>
  <c r="H93" i="3"/>
  <c r="I93" i="3" s="1"/>
  <c r="L93" i="3" s="1"/>
  <c r="F94" i="3"/>
  <c r="E94" i="3"/>
  <c r="D94" i="3"/>
  <c r="C95" i="3"/>
  <c r="R95" i="3" s="1"/>
  <c r="T94" i="3"/>
  <c r="S94" i="3"/>
  <c r="U94" i="3"/>
  <c r="AF97" i="3"/>
  <c r="AH96" i="3"/>
  <c r="AI96" i="3" s="1"/>
  <c r="N94" i="3" l="1"/>
  <c r="AE97" i="3"/>
  <c r="AM97" i="3"/>
  <c r="W93" i="3"/>
  <c r="X93" i="3" s="1"/>
  <c r="AA93" i="3" s="1"/>
  <c r="H94" i="3"/>
  <c r="I94" i="3" s="1"/>
  <c r="L94" i="3" s="1"/>
  <c r="F95" i="3"/>
  <c r="D95" i="3"/>
  <c r="E95" i="3"/>
  <c r="C96" i="3"/>
  <c r="E96" i="3" s="1"/>
  <c r="W94" i="3"/>
  <c r="X94" i="3" s="1"/>
  <c r="AA94" i="3" s="1"/>
  <c r="AF98" i="3"/>
  <c r="AH97" i="3"/>
  <c r="AI97" i="3" s="1"/>
  <c r="S95" i="3"/>
  <c r="T95" i="3"/>
  <c r="U95" i="3"/>
  <c r="N95" i="3" l="1"/>
  <c r="AE98" i="3"/>
  <c r="AM98" i="3"/>
  <c r="D96" i="3"/>
  <c r="F96" i="3"/>
  <c r="H95" i="3"/>
  <c r="I95" i="3" s="1"/>
  <c r="L95" i="3" s="1"/>
  <c r="R96" i="3"/>
  <c r="U96" i="3" s="1"/>
  <c r="C97" i="3"/>
  <c r="E97" i="3" s="1"/>
  <c r="W95" i="3"/>
  <c r="X95" i="3" s="1"/>
  <c r="AA95" i="3" s="1"/>
  <c r="AF99" i="3"/>
  <c r="AH98" i="3"/>
  <c r="AI98" i="3" s="1"/>
  <c r="AE99" i="3" l="1"/>
  <c r="AM99" i="3"/>
  <c r="H96" i="3"/>
  <c r="I96" i="3" s="1"/>
  <c r="L96" i="3" s="1"/>
  <c r="S96" i="3"/>
  <c r="T96" i="3"/>
  <c r="F97" i="3"/>
  <c r="D97" i="3"/>
  <c r="R97" i="3"/>
  <c r="S97" i="3" s="1"/>
  <c r="C98" i="3"/>
  <c r="D98" i="3" s="1"/>
  <c r="AF100" i="3"/>
  <c r="AH99" i="3"/>
  <c r="AI99" i="3" s="1"/>
  <c r="N97" i="3" l="1"/>
  <c r="N96" i="3"/>
  <c r="AE100" i="3"/>
  <c r="AM100" i="3"/>
  <c r="W96" i="3"/>
  <c r="X96" i="3" s="1"/>
  <c r="AA96" i="3" s="1"/>
  <c r="H97" i="3"/>
  <c r="I97" i="3" s="1"/>
  <c r="L97" i="3" s="1"/>
  <c r="F98" i="3"/>
  <c r="R98" i="3"/>
  <c r="U98" i="3" s="1"/>
  <c r="T97" i="3"/>
  <c r="E98" i="3"/>
  <c r="U97" i="3"/>
  <c r="C99" i="3"/>
  <c r="E99" i="3" s="1"/>
  <c r="AF101" i="3"/>
  <c r="AH100" i="3"/>
  <c r="AI100" i="3" s="1"/>
  <c r="AE101" i="3" l="1"/>
  <c r="AM101" i="3"/>
  <c r="T98" i="3"/>
  <c r="S98" i="3"/>
  <c r="H98" i="3"/>
  <c r="I98" i="3" s="1"/>
  <c r="L98" i="3" s="1"/>
  <c r="F99" i="3"/>
  <c r="R99" i="3"/>
  <c r="T99" i="3" s="1"/>
  <c r="W97" i="3"/>
  <c r="X97" i="3" s="1"/>
  <c r="AA97" i="3" s="1"/>
  <c r="D99" i="3"/>
  <c r="C100" i="3"/>
  <c r="D100" i="3" s="1"/>
  <c r="AH101" i="3"/>
  <c r="AG102" i="3" s="1"/>
  <c r="AG103" i="3" s="1"/>
  <c r="AG104" i="3" s="1"/>
  <c r="AG105" i="3" s="1"/>
  <c r="AG106" i="3" s="1"/>
  <c r="AG107" i="3" s="1"/>
  <c r="AG108" i="3" s="1"/>
  <c r="AG109" i="3" s="1"/>
  <c r="AG110" i="3" s="1"/>
  <c r="AG111" i="3" s="1"/>
  <c r="AG112" i="3" s="1"/>
  <c r="AG113" i="3" s="1"/>
  <c r="N98" i="3" l="1"/>
  <c r="W98" i="3"/>
  <c r="X98" i="3" s="1"/>
  <c r="AA98" i="3" s="1"/>
  <c r="U99" i="3"/>
  <c r="H99" i="3"/>
  <c r="I99" i="3" s="1"/>
  <c r="L99" i="3" s="1"/>
  <c r="S99" i="3"/>
  <c r="N99" i="3" s="1"/>
  <c r="E100" i="3"/>
  <c r="F100" i="3"/>
  <c r="R100" i="3"/>
  <c r="U100" i="3" s="1"/>
  <c r="C101" i="3"/>
  <c r="D101" i="3" s="1"/>
  <c r="AI101" i="3"/>
  <c r="AF102" i="3"/>
  <c r="AE102" i="3" l="1"/>
  <c r="AM102" i="3"/>
  <c r="W99" i="3"/>
  <c r="X99" i="3" s="1"/>
  <c r="AA99" i="3" s="1"/>
  <c r="H100" i="3"/>
  <c r="I100" i="3" s="1"/>
  <c r="L100" i="3" s="1"/>
  <c r="T100" i="3"/>
  <c r="S100" i="3"/>
  <c r="N100" i="3" s="1"/>
  <c r="F101" i="3"/>
  <c r="R101" i="3"/>
  <c r="U101" i="3" s="1"/>
  <c r="E101" i="3"/>
  <c r="AF103" i="3"/>
  <c r="AH102" i="3"/>
  <c r="AI102" i="3" s="1"/>
  <c r="AE103" i="3" l="1"/>
  <c r="AM103" i="3"/>
  <c r="W100" i="3"/>
  <c r="X100" i="3" s="1"/>
  <c r="AA100" i="3" s="1"/>
  <c r="T101" i="3"/>
  <c r="S101" i="3"/>
  <c r="N101" i="3" s="1"/>
  <c r="H101" i="3"/>
  <c r="I101" i="3" s="1"/>
  <c r="L101" i="3" s="1"/>
  <c r="C102" i="3"/>
  <c r="D102" i="3" s="1"/>
  <c r="AH103" i="3"/>
  <c r="AI103" i="3" s="1"/>
  <c r="AF104" i="3"/>
  <c r="AE104" i="3" l="1"/>
  <c r="AM104" i="3"/>
  <c r="W101" i="3"/>
  <c r="X101" i="3" s="1"/>
  <c r="AA101" i="3" s="1"/>
  <c r="F102" i="3"/>
  <c r="R102" i="3"/>
  <c r="S102" i="3" s="1"/>
  <c r="N102" i="3" s="1"/>
  <c r="E102" i="3"/>
  <c r="C103" i="3"/>
  <c r="F103" i="3" s="1"/>
  <c r="AF105" i="3"/>
  <c r="AH104" i="3"/>
  <c r="AI104" i="3" s="1"/>
  <c r="AE105" i="3" l="1"/>
  <c r="AM105" i="3"/>
  <c r="H102" i="3"/>
  <c r="I102" i="3" s="1"/>
  <c r="L102" i="3" s="1"/>
  <c r="D103" i="3"/>
  <c r="R103" i="3"/>
  <c r="U103" i="3" s="1"/>
  <c r="E103" i="3"/>
  <c r="T102" i="3"/>
  <c r="U102" i="3"/>
  <c r="C104" i="3"/>
  <c r="D104" i="3" s="1"/>
  <c r="AF106" i="3"/>
  <c r="AH105" i="3"/>
  <c r="AI105" i="3" s="1"/>
  <c r="AE106" i="3" l="1"/>
  <c r="AM106" i="3"/>
  <c r="S103" i="3"/>
  <c r="N103" i="3" s="1"/>
  <c r="T103" i="3"/>
  <c r="H103" i="3"/>
  <c r="I103" i="3" s="1"/>
  <c r="L103" i="3" s="1"/>
  <c r="W102" i="3"/>
  <c r="X102" i="3" s="1"/>
  <c r="AA102" i="3" s="1"/>
  <c r="R104" i="3"/>
  <c r="T104" i="3" s="1"/>
  <c r="E104" i="3"/>
  <c r="F104" i="3"/>
  <c r="AF107" i="3"/>
  <c r="AH106" i="3"/>
  <c r="AI106" i="3" s="1"/>
  <c r="AE107" i="3" l="1"/>
  <c r="AM107" i="3"/>
  <c r="U104" i="3"/>
  <c r="W103" i="3"/>
  <c r="X103" i="3" s="1"/>
  <c r="AA103" i="3" s="1"/>
  <c r="H104" i="3"/>
  <c r="I104" i="3" s="1"/>
  <c r="L104" i="3" s="1"/>
  <c r="S104" i="3"/>
  <c r="N104" i="3" s="1"/>
  <c r="AH107" i="3"/>
  <c r="AI107" i="3" s="1"/>
  <c r="AF108" i="3"/>
  <c r="AE108" i="3" l="1"/>
  <c r="AM108" i="3"/>
  <c r="W104" i="3"/>
  <c r="X104" i="3" s="1"/>
  <c r="AA104" i="3" s="1"/>
  <c r="AF109" i="3"/>
  <c r="AH108" i="3"/>
  <c r="AI108" i="3" s="1"/>
  <c r="AE109" i="3" l="1"/>
  <c r="AM109" i="3"/>
  <c r="AH109" i="3"/>
  <c r="AI109" i="3" s="1"/>
  <c r="AF110" i="3"/>
  <c r="AE110" i="3" l="1"/>
  <c r="AM110" i="3"/>
  <c r="AH110" i="3"/>
  <c r="AI110" i="3" s="1"/>
  <c r="AF111" i="3"/>
  <c r="AE111" i="3" l="1"/>
  <c r="AM111" i="3"/>
  <c r="AH111" i="3"/>
  <c r="AI111" i="3" s="1"/>
  <c r="AF112" i="3"/>
  <c r="AE112" i="3" l="1"/>
  <c r="AM112" i="3"/>
  <c r="AF113" i="3"/>
  <c r="AH112" i="3"/>
  <c r="AI112" i="3" s="1"/>
  <c r="AE113" i="3" l="1"/>
  <c r="AM113" i="3"/>
  <c r="AH113" i="3"/>
  <c r="AG114" i="3" s="1"/>
  <c r="AG115" i="3" s="1"/>
  <c r="AG116" i="3" s="1"/>
  <c r="AI113" i="3" l="1"/>
  <c r="AF114" i="3"/>
  <c r="AE114" i="3" l="1"/>
  <c r="AM114" i="3"/>
  <c r="AF115" i="3"/>
  <c r="AH114" i="3"/>
  <c r="AI114" i="3" s="1"/>
  <c r="AE115" i="3" l="1"/>
  <c r="AM115" i="3"/>
  <c r="C114" i="3"/>
  <c r="R114" i="3" s="1"/>
  <c r="AF116" i="3"/>
  <c r="AH115" i="3"/>
  <c r="AI115" i="3" s="1"/>
  <c r="AE116" i="3" l="1"/>
  <c r="AM116" i="3"/>
  <c r="F114" i="3"/>
  <c r="D114" i="3"/>
  <c r="E114" i="3"/>
  <c r="C115" i="3"/>
  <c r="D115" i="3" s="1"/>
  <c r="U114" i="3"/>
  <c r="T114" i="3"/>
  <c r="S114" i="3"/>
  <c r="AH116" i="3"/>
  <c r="AI116" i="3" s="1"/>
  <c r="AF117" i="3"/>
  <c r="AM117" i="3" s="1"/>
  <c r="N114" i="3" l="1"/>
  <c r="AE117" i="3"/>
  <c r="H114" i="3"/>
  <c r="I114" i="3" s="1"/>
  <c r="L114" i="3" s="1"/>
  <c r="F115" i="3"/>
  <c r="E115" i="3"/>
  <c r="R115" i="3"/>
  <c r="U115" i="3" s="1"/>
  <c r="C116" i="3"/>
  <c r="D116" i="3" s="1"/>
  <c r="W114" i="3"/>
  <c r="X114" i="3" s="1"/>
  <c r="AA114" i="3" s="1"/>
  <c r="AF118" i="3"/>
  <c r="AH117" i="3"/>
  <c r="AI117" i="3" s="1"/>
  <c r="AE118" i="3" l="1"/>
  <c r="AM118" i="3"/>
  <c r="F116" i="3"/>
  <c r="T115" i="3"/>
  <c r="H115" i="3"/>
  <c r="I115" i="3" s="1"/>
  <c r="L115" i="3" s="1"/>
  <c r="S115" i="3"/>
  <c r="N115" i="3" s="1"/>
  <c r="R116" i="3"/>
  <c r="U116" i="3" s="1"/>
  <c r="E116" i="3"/>
  <c r="AH118" i="3"/>
  <c r="AI118" i="3" s="1"/>
  <c r="AF119" i="3"/>
  <c r="AE119" i="3" l="1"/>
  <c r="AM119" i="3"/>
  <c r="H116" i="3"/>
  <c r="I116" i="3" s="1"/>
  <c r="L116" i="3" s="1"/>
  <c r="W115" i="3"/>
  <c r="X115" i="3" s="1"/>
  <c r="AA115" i="3" s="1"/>
  <c r="T116" i="3"/>
  <c r="S116" i="3"/>
  <c r="N116" i="3" s="1"/>
  <c r="AH119" i="3"/>
  <c r="AI119" i="3" s="1"/>
  <c r="AF120" i="3"/>
  <c r="AE120" i="3" l="1"/>
  <c r="AM120" i="3"/>
  <c r="W116" i="3"/>
  <c r="X116" i="3" s="1"/>
  <c r="AA116" i="3" s="1"/>
  <c r="AH120" i="3"/>
  <c r="AI120" i="3" s="1"/>
  <c r="AF121" i="3"/>
  <c r="AE121" i="3" l="1"/>
  <c r="AM121" i="3"/>
  <c r="AF122" i="3"/>
  <c r="AH121" i="3"/>
  <c r="AI121" i="3" s="1"/>
  <c r="AE122" i="3" l="1"/>
  <c r="AM122" i="3"/>
  <c r="AF123" i="3"/>
  <c r="AH122" i="3"/>
  <c r="AI122" i="3" s="1"/>
  <c r="AE123" i="3" l="1"/>
  <c r="AM123" i="3"/>
  <c r="AH123" i="3"/>
  <c r="AI123" i="3" s="1"/>
  <c r="AF124" i="3"/>
  <c r="AE124" i="3" l="1"/>
  <c r="AM124" i="3"/>
  <c r="AF125" i="3"/>
  <c r="AH124" i="3"/>
  <c r="AI124" i="3" s="1"/>
  <c r="AE125" i="3" l="1"/>
  <c r="AM125" i="3"/>
  <c r="AH125" i="3"/>
  <c r="AG126" i="3" s="1"/>
  <c r="AG127" i="3" s="1"/>
  <c r="AG128" i="3" s="1"/>
  <c r="AG129" i="3" s="1"/>
  <c r="AG130" i="3" s="1"/>
  <c r="AG131" i="3" s="1"/>
  <c r="AG132" i="3" s="1"/>
  <c r="AG133" i="3" s="1"/>
  <c r="AG134" i="3" s="1"/>
  <c r="AG135" i="3" s="1"/>
  <c r="AG136" i="3" s="1"/>
  <c r="AG137" i="3" s="1"/>
  <c r="AI125" i="3" l="1"/>
  <c r="AF126" i="3"/>
  <c r="AE126" i="3" l="1"/>
  <c r="AH126" i="3"/>
  <c r="AI126" i="3" s="1"/>
  <c r="AF127" i="3"/>
  <c r="AE127" i="3" l="1"/>
  <c r="AH127" i="3"/>
  <c r="AI127" i="3" s="1"/>
  <c r="AF128" i="3"/>
  <c r="AE128" i="3" l="1"/>
  <c r="AH128" i="3"/>
  <c r="AI128" i="3" s="1"/>
  <c r="AF129" i="3"/>
  <c r="AF130" i="3" l="1"/>
  <c r="AH129" i="3"/>
  <c r="AI129" i="3" s="1"/>
  <c r="AF131" i="3" l="1"/>
  <c r="AH130" i="3"/>
  <c r="AI130" i="3" l="1"/>
  <c r="AF132" i="3"/>
  <c r="AH131" i="3"/>
  <c r="AI131" i="3" l="1"/>
  <c r="AF133" i="3"/>
  <c r="AH132" i="3"/>
  <c r="AI132" i="3" l="1"/>
  <c r="AH133" i="3"/>
  <c r="AF134" i="3"/>
  <c r="AH134" i="3" l="1"/>
  <c r="AF135" i="3"/>
  <c r="AI133" i="3"/>
  <c r="AF136" i="3" l="1"/>
  <c r="AH135" i="3"/>
  <c r="AI134" i="3"/>
  <c r="AI135" i="3" l="1"/>
  <c r="AH136" i="3"/>
  <c r="AF137" i="3"/>
  <c r="AH137" i="3" l="1"/>
  <c r="AG138" i="3" s="1"/>
  <c r="AG139" i="3" s="1"/>
  <c r="AG140" i="3" s="1"/>
  <c r="AG141" i="3" s="1"/>
  <c r="AG142" i="3" s="1"/>
  <c r="AG143" i="3" s="1"/>
  <c r="AI136" i="3"/>
  <c r="AF138" i="3" l="1"/>
  <c r="AI137" i="3"/>
  <c r="AE138" i="3" l="1"/>
  <c r="AF139" i="3"/>
  <c r="AH138" i="3"/>
  <c r="AI138" i="3" s="1"/>
  <c r="AF140" i="3" l="1"/>
  <c r="AF141" i="3" s="1"/>
  <c r="AH139" i="3"/>
  <c r="AI139" i="3" s="1"/>
  <c r="AE139" i="3"/>
  <c r="AE140" i="3" l="1"/>
  <c r="AH140" i="3"/>
  <c r="AI140" i="3" s="1"/>
  <c r="AF142" i="3"/>
  <c r="AH141" i="3"/>
  <c r="AE141" i="3" l="1"/>
  <c r="AI141" i="3"/>
  <c r="AH142" i="3"/>
  <c r="AF143" i="3"/>
  <c r="O32" i="3" l="1"/>
  <c r="AE143" i="3"/>
  <c r="AE142" i="3"/>
  <c r="AH143" i="3"/>
  <c r="AI143" i="3" s="1"/>
  <c r="O26" i="3" s="1"/>
  <c r="O27" i="3" s="1"/>
  <c r="O28" i="3" s="1"/>
  <c r="AI142" i="3"/>
  <c r="AL123" i="3" l="1"/>
  <c r="AL124" i="3" l="1"/>
  <c r="AL125" i="3" l="1"/>
  <c r="AK126" i="3" s="1"/>
  <c r="AK127" i="3" l="1"/>
  <c r="AL127" i="3" s="1"/>
  <c r="AM126" i="3"/>
  <c r="C126" i="3" s="1"/>
  <c r="AL126" i="3"/>
  <c r="AK128" i="3" l="1"/>
  <c r="AL128" i="3" s="1"/>
  <c r="AM127" i="3"/>
  <c r="C127" i="3" s="1"/>
  <c r="F127" i="3" s="1"/>
  <c r="E126" i="3"/>
  <c r="F126" i="3"/>
  <c r="R126" i="3"/>
  <c r="D126" i="3"/>
  <c r="E127" i="3" l="1"/>
  <c r="D127" i="3"/>
  <c r="R127" i="3"/>
  <c r="S127" i="3" s="1"/>
  <c r="N127" i="3" s="1"/>
  <c r="AK129" i="3"/>
  <c r="AL129" i="3" s="1"/>
  <c r="AM128" i="3"/>
  <c r="C128" i="3" s="1"/>
  <c r="U126" i="3"/>
  <c r="T126" i="3"/>
  <c r="S126" i="3"/>
  <c r="N126" i="3" s="1"/>
  <c r="H126" i="3"/>
  <c r="I126" i="3" s="1"/>
  <c r="L126" i="3" s="1"/>
  <c r="T127" i="3" l="1"/>
  <c r="U127" i="3"/>
  <c r="H127" i="3"/>
  <c r="I127" i="3" s="1"/>
  <c r="L127" i="3" s="1"/>
  <c r="F128" i="3"/>
  <c r="E128" i="3"/>
  <c r="D128" i="3"/>
  <c r="R128" i="3"/>
  <c r="AK130" i="3"/>
  <c r="AM129" i="3"/>
  <c r="W126" i="3"/>
  <c r="X126" i="3" s="1"/>
  <c r="W127" i="3" l="1"/>
  <c r="X127" i="3" s="1"/>
  <c r="AA127" i="3" s="1"/>
  <c r="H128" i="3"/>
  <c r="I128" i="3" s="1"/>
  <c r="L128" i="3" s="1"/>
  <c r="AK131" i="3"/>
  <c r="AL131" i="3" s="1"/>
  <c r="AM130" i="3"/>
  <c r="AL130" i="3"/>
  <c r="S128" i="3"/>
  <c r="N128" i="3" s="1"/>
  <c r="U128" i="3"/>
  <c r="T128" i="3"/>
  <c r="AA126" i="3"/>
  <c r="W128" i="3" l="1"/>
  <c r="X128" i="3" s="1"/>
  <c r="AA128" i="3" s="1"/>
  <c r="AK132" i="3"/>
  <c r="AL132" i="3" s="1"/>
  <c r="AM131" i="3"/>
  <c r="AK133" i="3" l="1"/>
  <c r="AL133" i="3" s="1"/>
  <c r="AM132" i="3"/>
  <c r="AK134" i="3" l="1"/>
  <c r="AL134" i="3" s="1"/>
  <c r="AM133" i="3"/>
  <c r="AK135" i="3" l="1"/>
  <c r="AL135" i="3" s="1"/>
  <c r="AM134" i="3"/>
  <c r="AK136" i="3" l="1"/>
  <c r="AL136" i="3" s="1"/>
  <c r="AM135" i="3"/>
  <c r="AK137" i="3" l="1"/>
  <c r="AM136" i="3"/>
  <c r="AM137" i="3" l="1"/>
  <c r="AK138" i="3"/>
  <c r="AL137" i="3"/>
  <c r="AL138" i="3" l="1"/>
  <c r="AK139" i="3"/>
  <c r="AL139" i="3" s="1"/>
  <c r="AM138" i="3"/>
  <c r="C138" i="3" s="1"/>
  <c r="R138" i="3" s="1"/>
  <c r="S138" i="3" s="1"/>
  <c r="U138" i="3" l="1"/>
  <c r="T138" i="3"/>
  <c r="F138" i="3"/>
  <c r="E138" i="3"/>
  <c r="D138" i="3"/>
  <c r="N138" i="3" s="1"/>
  <c r="AK140" i="3"/>
  <c r="AL140" i="3" s="1"/>
  <c r="AM139" i="3"/>
  <c r="C139" i="3" s="1"/>
  <c r="W138" i="3" l="1"/>
  <c r="X138" i="3" s="1"/>
  <c r="AA138" i="3" s="1"/>
  <c r="H138" i="3"/>
  <c r="I138" i="3" s="1"/>
  <c r="L138" i="3" s="1"/>
  <c r="D139" i="3"/>
  <c r="R139" i="3"/>
  <c r="F139" i="3"/>
  <c r="E139" i="3"/>
  <c r="AK141" i="3"/>
  <c r="AM140" i="3"/>
  <c r="C140" i="3" s="1"/>
  <c r="H139" i="3" l="1"/>
  <c r="I139" i="3" s="1"/>
  <c r="L139" i="3" s="1"/>
  <c r="D140" i="3"/>
  <c r="R140" i="3"/>
  <c r="E140" i="3"/>
  <c r="F140" i="3"/>
  <c r="T139" i="3"/>
  <c r="S139" i="3"/>
  <c r="N139" i="3" s="1"/>
  <c r="U139" i="3"/>
  <c r="AK142" i="3"/>
  <c r="AM141" i="3"/>
  <c r="C141" i="3" s="1"/>
  <c r="AL141" i="3"/>
  <c r="W139" i="3" l="1"/>
  <c r="X139" i="3" s="1"/>
  <c r="AA139" i="3" s="1"/>
  <c r="H140" i="3"/>
  <c r="I140" i="3" s="1"/>
  <c r="L140" i="3" s="1"/>
  <c r="AK143" i="3"/>
  <c r="AM143" i="3" s="1"/>
  <c r="C143" i="3" s="1"/>
  <c r="AM142" i="3"/>
  <c r="C142" i="3" s="1"/>
  <c r="S140" i="3"/>
  <c r="N140" i="3" s="1"/>
  <c r="T140" i="3"/>
  <c r="U140" i="3"/>
  <c r="AL142" i="3"/>
  <c r="F141" i="3"/>
  <c r="D141" i="3"/>
  <c r="E141" i="3"/>
  <c r="R141" i="3"/>
  <c r="AL143" i="3" l="1"/>
  <c r="H141" i="3"/>
  <c r="I141" i="3" s="1"/>
  <c r="L141" i="3" s="1"/>
  <c r="W140" i="3"/>
  <c r="X140" i="3" s="1"/>
  <c r="AA140" i="3" s="1"/>
  <c r="S141" i="3"/>
  <c r="N141" i="3" s="1"/>
  <c r="U141" i="3"/>
  <c r="T141" i="3"/>
  <c r="F142" i="3"/>
  <c r="R142" i="3"/>
  <c r="D142" i="3"/>
  <c r="E142" i="3"/>
  <c r="D143" i="3"/>
  <c r="E143" i="3"/>
  <c r="R143" i="3"/>
  <c r="F143" i="3"/>
  <c r="W141" i="3" l="1"/>
  <c r="X141" i="3" s="1"/>
  <c r="AA141" i="3" s="1"/>
  <c r="H142" i="3"/>
  <c r="I142" i="3" s="1"/>
  <c r="L142" i="3" s="1"/>
  <c r="U142" i="3"/>
  <c r="S142" i="3"/>
  <c r="N142" i="3" s="1"/>
  <c r="T142" i="3"/>
  <c r="H143" i="3"/>
  <c r="I143" i="3" s="1"/>
  <c r="L143" i="3" s="1"/>
  <c r="T143" i="3"/>
  <c r="S143" i="3"/>
  <c r="U143" i="3"/>
  <c r="N143" i="3" l="1"/>
  <c r="W142" i="3"/>
  <c r="X142" i="3" s="1"/>
  <c r="AA142" i="3" s="1"/>
  <c r="W143" i="3"/>
  <c r="X143" i="3" s="1"/>
  <c r="AA143" i="3" l="1"/>
  <c r="AE129" i="3" l="1"/>
  <c r="C129" i="3" s="1"/>
  <c r="O33" i="3"/>
  <c r="O34" i="3" l="1"/>
  <c r="E129" i="3"/>
  <c r="R129" i="3"/>
  <c r="D129" i="3"/>
  <c r="F129" i="3"/>
  <c r="AG57" i="3" l="1"/>
  <c r="AG58" i="3" s="1"/>
  <c r="AG117" i="3"/>
  <c r="AG118" i="3" s="1"/>
  <c r="AG119" i="3" s="1"/>
  <c r="AG120" i="3" s="1"/>
  <c r="AG121" i="3" s="1"/>
  <c r="AG122" i="3" s="1"/>
  <c r="AG123" i="3" s="1"/>
  <c r="AG124" i="3" s="1"/>
  <c r="AG125" i="3" s="1"/>
  <c r="C9" i="3"/>
  <c r="R9" i="3" s="1"/>
  <c r="H129" i="3"/>
  <c r="I129" i="3" s="1"/>
  <c r="L129" i="3" s="1"/>
  <c r="AE130" i="3"/>
  <c r="C130" i="3" s="1"/>
  <c r="T129" i="3"/>
  <c r="S129" i="3"/>
  <c r="N129" i="3" s="1"/>
  <c r="U129" i="3"/>
  <c r="E9" i="3" l="1"/>
  <c r="T9" i="3" s="1"/>
  <c r="D9" i="3"/>
  <c r="F9" i="3"/>
  <c r="C57" i="3"/>
  <c r="F57" i="3" s="1"/>
  <c r="AG59" i="3"/>
  <c r="C58" i="3"/>
  <c r="C10" i="3"/>
  <c r="W129" i="3"/>
  <c r="X129" i="3" s="1"/>
  <c r="AA129" i="3" s="1"/>
  <c r="U9" i="3"/>
  <c r="S9" i="3"/>
  <c r="C105" i="3"/>
  <c r="C117" i="3"/>
  <c r="D130" i="3"/>
  <c r="E130" i="3"/>
  <c r="F130" i="3"/>
  <c r="R130" i="3"/>
  <c r="AE131" i="3"/>
  <c r="C131" i="3" s="1"/>
  <c r="N9" i="3" l="1"/>
  <c r="H9" i="3"/>
  <c r="I9" i="3" s="1"/>
  <c r="L9" i="3" s="1"/>
  <c r="R57" i="3"/>
  <c r="S57" i="3" s="1"/>
  <c r="D57" i="3"/>
  <c r="E57" i="3"/>
  <c r="E58" i="3"/>
  <c r="D58" i="3"/>
  <c r="R58" i="3"/>
  <c r="F58" i="3"/>
  <c r="AG60" i="3"/>
  <c r="C59" i="3"/>
  <c r="R10" i="3"/>
  <c r="E10" i="3"/>
  <c r="T10" i="3" s="1"/>
  <c r="F10" i="3"/>
  <c r="D10" i="3"/>
  <c r="C11" i="3"/>
  <c r="H130" i="3"/>
  <c r="I130" i="3" s="1"/>
  <c r="L130" i="3" s="1"/>
  <c r="W9" i="3"/>
  <c r="X9" i="3" s="1"/>
  <c r="AA9" i="3" s="1"/>
  <c r="C118" i="3"/>
  <c r="F117" i="3"/>
  <c r="R117" i="3"/>
  <c r="D117" i="3"/>
  <c r="E117" i="3"/>
  <c r="R105" i="3"/>
  <c r="F105" i="3"/>
  <c r="D105" i="3"/>
  <c r="E105" i="3"/>
  <c r="C106" i="3"/>
  <c r="R131" i="3"/>
  <c r="E131" i="3"/>
  <c r="F131" i="3"/>
  <c r="D131" i="3"/>
  <c r="AE132" i="3"/>
  <c r="C132" i="3" s="1"/>
  <c r="S130" i="3"/>
  <c r="N130" i="3" s="1"/>
  <c r="T130" i="3"/>
  <c r="U130" i="3"/>
  <c r="N57" i="3" l="1"/>
  <c r="T57" i="3"/>
  <c r="U57" i="3"/>
  <c r="H57" i="3"/>
  <c r="I57" i="3" s="1"/>
  <c r="L57" i="3" s="1"/>
  <c r="S58" i="3"/>
  <c r="N58" i="3" s="1"/>
  <c r="T58" i="3"/>
  <c r="U58" i="3"/>
  <c r="D59" i="3"/>
  <c r="R59" i="3"/>
  <c r="F59" i="3"/>
  <c r="E59" i="3"/>
  <c r="H58" i="3"/>
  <c r="I58" i="3" s="1"/>
  <c r="L58" i="3" s="1"/>
  <c r="AG61" i="3"/>
  <c r="C60" i="3"/>
  <c r="H10" i="3"/>
  <c r="I10" i="3" s="1"/>
  <c r="L10" i="3" s="1"/>
  <c r="D11" i="3"/>
  <c r="F11" i="3"/>
  <c r="E11" i="3"/>
  <c r="T11" i="3" s="1"/>
  <c r="R11" i="3"/>
  <c r="C12" i="3"/>
  <c r="S10" i="3"/>
  <c r="U10" i="3"/>
  <c r="H117" i="3"/>
  <c r="I117" i="3" s="1"/>
  <c r="L117" i="3" s="1"/>
  <c r="D118" i="3"/>
  <c r="E118" i="3"/>
  <c r="R118" i="3"/>
  <c r="F118" i="3"/>
  <c r="O118" i="3"/>
  <c r="C107" i="3"/>
  <c r="U105" i="3"/>
  <c r="S105" i="3"/>
  <c r="T105" i="3"/>
  <c r="W130" i="3"/>
  <c r="X130" i="3" s="1"/>
  <c r="AA130" i="3" s="1"/>
  <c r="H131" i="3"/>
  <c r="I131" i="3" s="1"/>
  <c r="L131" i="3" s="1"/>
  <c r="E106" i="3"/>
  <c r="R106" i="3"/>
  <c r="D106" i="3"/>
  <c r="F106" i="3"/>
  <c r="H105" i="3"/>
  <c r="I105" i="3" s="1"/>
  <c r="L105" i="3" s="1"/>
  <c r="T117" i="3"/>
  <c r="S117" i="3"/>
  <c r="N117" i="3" s="1"/>
  <c r="U117" i="3"/>
  <c r="C119" i="3"/>
  <c r="AE133" i="3"/>
  <c r="C133" i="3" s="1"/>
  <c r="R132" i="3"/>
  <c r="E132" i="3"/>
  <c r="F132" i="3"/>
  <c r="D132" i="3"/>
  <c r="U131" i="3"/>
  <c r="T131" i="3"/>
  <c r="S131" i="3"/>
  <c r="N131" i="3" s="1"/>
  <c r="N10" i="3" l="1"/>
  <c r="N105" i="3"/>
  <c r="W57" i="3"/>
  <c r="X57" i="3" s="1"/>
  <c r="AA57" i="3" s="1"/>
  <c r="H59" i="3"/>
  <c r="I59" i="3" s="1"/>
  <c r="L59" i="3" s="1"/>
  <c r="F60" i="3"/>
  <c r="D60" i="3"/>
  <c r="E60" i="3"/>
  <c r="R60" i="3"/>
  <c r="AG62" i="3"/>
  <c r="C61" i="3"/>
  <c r="T59" i="3"/>
  <c r="U59" i="3"/>
  <c r="S59" i="3"/>
  <c r="N59" i="3" s="1"/>
  <c r="W58" i="3"/>
  <c r="X58" i="3" s="1"/>
  <c r="AA58" i="3" s="1"/>
  <c r="C13" i="3"/>
  <c r="U11" i="3"/>
  <c r="S11" i="3"/>
  <c r="N11" i="3" s="1"/>
  <c r="W10" i="3"/>
  <c r="X10" i="3" s="1"/>
  <c r="AA10" i="3" s="1"/>
  <c r="E12" i="3"/>
  <c r="T12" i="3" s="1"/>
  <c r="D12" i="3"/>
  <c r="R12" i="3"/>
  <c r="F12" i="3"/>
  <c r="H11" i="3"/>
  <c r="I11" i="3" s="1"/>
  <c r="L11" i="3" s="1"/>
  <c r="W105" i="3"/>
  <c r="X105" i="3" s="1"/>
  <c r="AA105" i="3" s="1"/>
  <c r="H106" i="3"/>
  <c r="I106" i="3" s="1"/>
  <c r="L106" i="3" s="1"/>
  <c r="H132" i="3"/>
  <c r="I132" i="3" s="1"/>
  <c r="L132" i="3" s="1"/>
  <c r="W131" i="3"/>
  <c r="X131" i="3" s="1"/>
  <c r="AA131" i="3" s="1"/>
  <c r="E119" i="3"/>
  <c r="F119" i="3"/>
  <c r="R119" i="3"/>
  <c r="D119" i="3"/>
  <c r="C120" i="3"/>
  <c r="U106" i="3"/>
  <c r="S106" i="3"/>
  <c r="N106" i="3" s="1"/>
  <c r="T106" i="3"/>
  <c r="R107" i="3"/>
  <c r="D107" i="3"/>
  <c r="E107" i="3"/>
  <c r="F107" i="3"/>
  <c r="S118" i="3"/>
  <c r="N118" i="3" s="1"/>
  <c r="T118" i="3"/>
  <c r="U118" i="3"/>
  <c r="C108" i="3"/>
  <c r="W117" i="3"/>
  <c r="X117" i="3" s="1"/>
  <c r="AA117" i="3" s="1"/>
  <c r="H118" i="3"/>
  <c r="I118" i="3" s="1"/>
  <c r="L118" i="3" s="1"/>
  <c r="AE134" i="3"/>
  <c r="C134" i="3" s="1"/>
  <c r="D133" i="3"/>
  <c r="R133" i="3"/>
  <c r="F133" i="3"/>
  <c r="E133" i="3"/>
  <c r="T132" i="3"/>
  <c r="S132" i="3"/>
  <c r="N132" i="3" s="1"/>
  <c r="U132" i="3"/>
  <c r="S60" i="3" l="1"/>
  <c r="N60" i="3" s="1"/>
  <c r="U60" i="3"/>
  <c r="T60" i="3"/>
  <c r="F61" i="3"/>
  <c r="R61" i="3"/>
  <c r="D61" i="3"/>
  <c r="E61" i="3"/>
  <c r="H60" i="3"/>
  <c r="I60" i="3" s="1"/>
  <c r="L60" i="3" s="1"/>
  <c r="W59" i="3"/>
  <c r="X59" i="3" s="1"/>
  <c r="AA59" i="3" s="1"/>
  <c r="AG63" i="3"/>
  <c r="C62" i="3"/>
  <c r="W11" i="3"/>
  <c r="X11" i="3" s="1"/>
  <c r="AA11" i="3" s="1"/>
  <c r="H12" i="3"/>
  <c r="I12" i="3" s="1"/>
  <c r="L12" i="3" s="1"/>
  <c r="W106" i="3"/>
  <c r="X106" i="3" s="1"/>
  <c r="AA106" i="3" s="1"/>
  <c r="F13" i="3"/>
  <c r="R13" i="3"/>
  <c r="D13" i="3"/>
  <c r="E13" i="3"/>
  <c r="T13" i="3" s="1"/>
  <c r="S12" i="3"/>
  <c r="N12" i="3" s="1"/>
  <c r="U12" i="3"/>
  <c r="C14" i="3"/>
  <c r="H119" i="3"/>
  <c r="I119" i="3" s="1"/>
  <c r="L119" i="3" s="1"/>
  <c r="W118" i="3"/>
  <c r="X118" i="3" s="1"/>
  <c r="AA118" i="3" s="1"/>
  <c r="H107" i="3"/>
  <c r="I107" i="3" s="1"/>
  <c r="L107" i="3" s="1"/>
  <c r="C109" i="3"/>
  <c r="S107" i="3"/>
  <c r="N107" i="3" s="1"/>
  <c r="T107" i="3"/>
  <c r="U107" i="3"/>
  <c r="T119" i="3"/>
  <c r="S119" i="3"/>
  <c r="N119" i="3" s="1"/>
  <c r="U119" i="3"/>
  <c r="C121" i="3"/>
  <c r="E120" i="3"/>
  <c r="R120" i="3"/>
  <c r="F120" i="3"/>
  <c r="D120" i="3"/>
  <c r="W132" i="3"/>
  <c r="X132" i="3" s="1"/>
  <c r="AA132" i="3" s="1"/>
  <c r="H133" i="3"/>
  <c r="I133" i="3" s="1"/>
  <c r="L133" i="3" s="1"/>
  <c r="E108" i="3"/>
  <c r="D108" i="3"/>
  <c r="R108" i="3"/>
  <c r="F108" i="3"/>
  <c r="U133" i="3"/>
  <c r="S133" i="3"/>
  <c r="N133" i="3" s="1"/>
  <c r="T133" i="3"/>
  <c r="F134" i="3"/>
  <c r="E134" i="3"/>
  <c r="D134" i="3"/>
  <c r="R134" i="3"/>
  <c r="AE135" i="3"/>
  <c r="C135" i="3" s="1"/>
  <c r="AG64" i="3" l="1"/>
  <c r="C63" i="3"/>
  <c r="H61" i="3"/>
  <c r="I61" i="3" s="1"/>
  <c r="L61" i="3" s="1"/>
  <c r="R62" i="3"/>
  <c r="E62" i="3"/>
  <c r="D62" i="3"/>
  <c r="F62" i="3"/>
  <c r="T61" i="3"/>
  <c r="S61" i="3"/>
  <c r="N61" i="3" s="1"/>
  <c r="U61" i="3"/>
  <c r="W60" i="3"/>
  <c r="X60" i="3" s="1"/>
  <c r="AA60" i="3" s="1"/>
  <c r="W12" i="3"/>
  <c r="X12" i="3" s="1"/>
  <c r="AA12" i="3" s="1"/>
  <c r="F14" i="3"/>
  <c r="E14" i="3"/>
  <c r="T14" i="3" s="1"/>
  <c r="D14" i="3"/>
  <c r="R14" i="3"/>
  <c r="H13" i="3"/>
  <c r="I13" i="3" s="1"/>
  <c r="L13" i="3" s="1"/>
  <c r="S13" i="3"/>
  <c r="N13" i="3" s="1"/>
  <c r="U13" i="3"/>
  <c r="C15" i="3"/>
  <c r="W119" i="3"/>
  <c r="X119" i="3" s="1"/>
  <c r="AA119" i="3" s="1"/>
  <c r="W107" i="3"/>
  <c r="X107" i="3" s="1"/>
  <c r="AA107" i="3" s="1"/>
  <c r="W133" i="3"/>
  <c r="X133" i="3" s="1"/>
  <c r="AA133" i="3" s="1"/>
  <c r="H134" i="3"/>
  <c r="I134" i="3" s="1"/>
  <c r="L134" i="3" s="1"/>
  <c r="H120" i="3"/>
  <c r="I120" i="3" s="1"/>
  <c r="L120" i="3" s="1"/>
  <c r="R121" i="3"/>
  <c r="F121" i="3"/>
  <c r="D121" i="3"/>
  <c r="E121" i="3"/>
  <c r="C122" i="3"/>
  <c r="H108" i="3"/>
  <c r="I108" i="3" s="1"/>
  <c r="L108" i="3" s="1"/>
  <c r="S108" i="3"/>
  <c r="N108" i="3" s="1"/>
  <c r="T108" i="3"/>
  <c r="U108" i="3"/>
  <c r="U120" i="3"/>
  <c r="S120" i="3"/>
  <c r="N120" i="3" s="1"/>
  <c r="T120" i="3"/>
  <c r="D109" i="3"/>
  <c r="R109" i="3"/>
  <c r="E109" i="3"/>
  <c r="F109" i="3"/>
  <c r="C110" i="3"/>
  <c r="AE137" i="3"/>
  <c r="C137" i="3" s="1"/>
  <c r="AE136" i="3"/>
  <c r="C136" i="3" s="1"/>
  <c r="R135" i="3"/>
  <c r="E135" i="3"/>
  <c r="F135" i="3"/>
  <c r="D135" i="3"/>
  <c r="T134" i="3"/>
  <c r="S134" i="3"/>
  <c r="N134" i="3" s="1"/>
  <c r="U134" i="3"/>
  <c r="H62" i="3" l="1"/>
  <c r="I62" i="3" s="1"/>
  <c r="L62" i="3" s="1"/>
  <c r="U62" i="3"/>
  <c r="S62" i="3"/>
  <c r="N62" i="3" s="1"/>
  <c r="T62" i="3"/>
  <c r="W61" i="3"/>
  <c r="X61" i="3" s="1"/>
  <c r="AA61" i="3" s="1"/>
  <c r="D63" i="3"/>
  <c r="R63" i="3"/>
  <c r="E63" i="3"/>
  <c r="F63" i="3"/>
  <c r="AG65" i="3"/>
  <c r="C65" i="3" s="1"/>
  <c r="C64" i="3"/>
  <c r="H14" i="3"/>
  <c r="I14" i="3" s="1"/>
  <c r="L14" i="3" s="1"/>
  <c r="C17" i="3"/>
  <c r="C16" i="3"/>
  <c r="S14" i="3"/>
  <c r="N14" i="3" s="1"/>
  <c r="U14" i="3"/>
  <c r="W13" i="3"/>
  <c r="X13" i="3" s="1"/>
  <c r="AA13" i="3" s="1"/>
  <c r="R15" i="3"/>
  <c r="E15" i="3"/>
  <c r="F15" i="3"/>
  <c r="D15" i="3"/>
  <c r="H109" i="3"/>
  <c r="I109" i="3" s="1"/>
  <c r="L109" i="3" s="1"/>
  <c r="W134" i="3"/>
  <c r="X134" i="3" s="1"/>
  <c r="AA134" i="3" s="1"/>
  <c r="W108" i="3"/>
  <c r="X108" i="3" s="1"/>
  <c r="AA108" i="3" s="1"/>
  <c r="C123" i="3"/>
  <c r="R110" i="3"/>
  <c r="D110" i="3"/>
  <c r="F110" i="3"/>
  <c r="E110" i="3"/>
  <c r="D122" i="3"/>
  <c r="E122" i="3"/>
  <c r="F122" i="3"/>
  <c r="R122" i="3"/>
  <c r="U121" i="3"/>
  <c r="T121" i="3"/>
  <c r="S121" i="3"/>
  <c r="N121" i="3" s="1"/>
  <c r="C111" i="3"/>
  <c r="W120" i="3"/>
  <c r="X120" i="3" s="1"/>
  <c r="AA120" i="3" s="1"/>
  <c r="U109" i="3"/>
  <c r="S109" i="3"/>
  <c r="N109" i="3" s="1"/>
  <c r="T109" i="3"/>
  <c r="H121" i="3"/>
  <c r="I121" i="3" s="1"/>
  <c r="L121" i="3" s="1"/>
  <c r="U135" i="3"/>
  <c r="T135" i="3"/>
  <c r="S135" i="3"/>
  <c r="N135" i="3" s="1"/>
  <c r="H135" i="3"/>
  <c r="I135" i="3" s="1"/>
  <c r="L135" i="3" s="1"/>
  <c r="F136" i="3"/>
  <c r="D136" i="3"/>
  <c r="E136" i="3"/>
  <c r="R136" i="3"/>
  <c r="R137" i="3"/>
  <c r="E137" i="3"/>
  <c r="D137" i="3"/>
  <c r="F137" i="3"/>
  <c r="W62" i="3" l="1"/>
  <c r="X62" i="3" s="1"/>
  <c r="AA62" i="3" s="1"/>
  <c r="F64" i="3"/>
  <c r="E64" i="3"/>
  <c r="R64" i="3"/>
  <c r="D64" i="3"/>
  <c r="T63" i="3"/>
  <c r="S63" i="3"/>
  <c r="N63" i="3" s="1"/>
  <c r="U63" i="3"/>
  <c r="R65" i="3"/>
  <c r="F65" i="3"/>
  <c r="E65" i="3"/>
  <c r="D65" i="3"/>
  <c r="H63" i="3"/>
  <c r="I63" i="3" s="1"/>
  <c r="L63" i="3" s="1"/>
  <c r="W14" i="3"/>
  <c r="X14" i="3" s="1"/>
  <c r="AA14" i="3" s="1"/>
  <c r="E16" i="3"/>
  <c r="D16" i="3"/>
  <c r="R16" i="3"/>
  <c r="F16" i="3"/>
  <c r="R17" i="3"/>
  <c r="F17" i="3"/>
  <c r="D17" i="3"/>
  <c r="E17" i="3"/>
  <c r="U15" i="3"/>
  <c r="S15" i="3"/>
  <c r="N15" i="3" s="1"/>
  <c r="T15" i="3"/>
  <c r="H15" i="3"/>
  <c r="I15" i="3" s="1"/>
  <c r="L15" i="3" s="1"/>
  <c r="W121" i="3"/>
  <c r="X121" i="3" s="1"/>
  <c r="AA121" i="3" s="1"/>
  <c r="W109" i="3"/>
  <c r="X109" i="3" s="1"/>
  <c r="AA109" i="3" s="1"/>
  <c r="W135" i="3"/>
  <c r="X135" i="3" s="1"/>
  <c r="AA135" i="3" s="1"/>
  <c r="H110" i="3"/>
  <c r="I110" i="3" s="1"/>
  <c r="L110" i="3" s="1"/>
  <c r="C113" i="3"/>
  <c r="C112" i="3"/>
  <c r="T122" i="3"/>
  <c r="U122" i="3"/>
  <c r="S122" i="3"/>
  <c r="N122" i="3" s="1"/>
  <c r="U110" i="3"/>
  <c r="T110" i="3"/>
  <c r="S110" i="3"/>
  <c r="N110" i="3" s="1"/>
  <c r="C125" i="3"/>
  <c r="C124" i="3"/>
  <c r="F123" i="3"/>
  <c r="R123" i="3"/>
  <c r="E123" i="3"/>
  <c r="D123" i="3"/>
  <c r="R111" i="3"/>
  <c r="F111" i="3"/>
  <c r="E111" i="3"/>
  <c r="D111" i="3"/>
  <c r="H122" i="3"/>
  <c r="I122" i="3" s="1"/>
  <c r="L122" i="3" s="1"/>
  <c r="H136" i="3"/>
  <c r="T137" i="3"/>
  <c r="S137" i="3"/>
  <c r="U137" i="3"/>
  <c r="H137" i="3"/>
  <c r="S136" i="3"/>
  <c r="N136" i="3" s="1"/>
  <c r="T136" i="3"/>
  <c r="U136" i="3"/>
  <c r="N137" i="3" l="1"/>
  <c r="H65" i="3"/>
  <c r="I65" i="3" s="1"/>
  <c r="L65" i="3" s="1"/>
  <c r="H64" i="3"/>
  <c r="I64" i="3" s="1"/>
  <c r="L64" i="3" s="1"/>
  <c r="W63" i="3"/>
  <c r="X63" i="3" s="1"/>
  <c r="AA63" i="3" s="1"/>
  <c r="S65" i="3"/>
  <c r="T65" i="3"/>
  <c r="U65" i="3"/>
  <c r="T64" i="3"/>
  <c r="U64" i="3"/>
  <c r="S64" i="3"/>
  <c r="N64" i="3" s="1"/>
  <c r="H17" i="3"/>
  <c r="I17" i="3" s="1"/>
  <c r="L17" i="3" s="1"/>
  <c r="W15" i="3"/>
  <c r="X15" i="3" s="1"/>
  <c r="AA15" i="3" s="1"/>
  <c r="H16" i="3"/>
  <c r="I16" i="3" s="1"/>
  <c r="L16" i="3" s="1"/>
  <c r="S16" i="3"/>
  <c r="N16" i="3" s="1"/>
  <c r="U16" i="3"/>
  <c r="T16" i="3"/>
  <c r="U17" i="3"/>
  <c r="S17" i="3"/>
  <c r="N17" i="3" s="1"/>
  <c r="T17" i="3"/>
  <c r="K4" i="5" a="1"/>
  <c r="K4" i="5" s="1"/>
  <c r="K5" i="5" s="1" a="1"/>
  <c r="K5" i="5" s="1"/>
  <c r="J5" i="5" s="1"/>
  <c r="H123" i="3"/>
  <c r="I123" i="3" s="1"/>
  <c r="L123" i="3" s="1"/>
  <c r="W110" i="3"/>
  <c r="X110" i="3" s="1"/>
  <c r="AA110" i="3" s="1"/>
  <c r="W122" i="3"/>
  <c r="X122" i="3" s="1"/>
  <c r="AA122" i="3" s="1"/>
  <c r="H111" i="3"/>
  <c r="I111" i="3" s="1"/>
  <c r="L111" i="3" s="1"/>
  <c r="W136" i="3"/>
  <c r="X136" i="3" s="1"/>
  <c r="AA136" i="3" s="1"/>
  <c r="T111" i="3"/>
  <c r="U111" i="3"/>
  <c r="S111" i="3"/>
  <c r="N111" i="3" s="1"/>
  <c r="R124" i="3"/>
  <c r="D124" i="3"/>
  <c r="F124" i="3"/>
  <c r="E124" i="3"/>
  <c r="S123" i="3"/>
  <c r="N123" i="3" s="1"/>
  <c r="U123" i="3"/>
  <c r="T123" i="3"/>
  <c r="D125" i="3"/>
  <c r="F125" i="3"/>
  <c r="E125" i="3"/>
  <c r="R125" i="3"/>
  <c r="D112" i="3"/>
  <c r="E112" i="3"/>
  <c r="R112" i="3"/>
  <c r="F112" i="3"/>
  <c r="D113" i="3"/>
  <c r="E113" i="3"/>
  <c r="R113" i="3"/>
  <c r="F113" i="3"/>
  <c r="I137" i="3"/>
  <c r="L137" i="3" s="1"/>
  <c r="W137" i="3"/>
  <c r="X137" i="3" s="1"/>
  <c r="AA137" i="3" s="1"/>
  <c r="I136" i="3"/>
  <c r="L136" i="3" s="1"/>
  <c r="N65" i="3" l="1"/>
  <c r="C12" i="5"/>
  <c r="W65" i="3"/>
  <c r="X65" i="3" s="1"/>
  <c r="AA65" i="3" s="1"/>
  <c r="W64" i="3"/>
  <c r="X64" i="3" s="1"/>
  <c r="AA64" i="3" s="1"/>
  <c r="W16" i="3"/>
  <c r="X16" i="3" s="1"/>
  <c r="AA16" i="3" s="1"/>
  <c r="W17" i="3"/>
  <c r="X17" i="3" s="1"/>
  <c r="AA17" i="3" s="1"/>
  <c r="K6" i="5" a="1"/>
  <c r="K6" i="5" s="1"/>
  <c r="K7" i="5" s="1" a="1"/>
  <c r="K7" i="5" s="1"/>
  <c r="J7" i="5" s="1"/>
  <c r="J4" i="5"/>
  <c r="H112" i="3"/>
  <c r="I112" i="3" s="1"/>
  <c r="L112" i="3" s="1"/>
  <c r="H124" i="3"/>
  <c r="I124" i="3" s="1"/>
  <c r="L124" i="3" s="1"/>
  <c r="B9" i="5"/>
  <c r="W123" i="3"/>
  <c r="X123" i="3" s="1"/>
  <c r="AA123" i="3" s="1"/>
  <c r="H113" i="3"/>
  <c r="I113" i="3" s="1"/>
  <c r="L113" i="3" s="1"/>
  <c r="W111" i="3"/>
  <c r="X111" i="3" s="1"/>
  <c r="AA111" i="3" s="1"/>
  <c r="S125" i="3"/>
  <c r="N125" i="3" s="1"/>
  <c r="T125" i="3"/>
  <c r="U125" i="3"/>
  <c r="T112" i="3"/>
  <c r="S112" i="3"/>
  <c r="N112" i="3" s="1"/>
  <c r="U112" i="3"/>
  <c r="H125" i="3"/>
  <c r="I125" i="3" s="1"/>
  <c r="L125" i="3" s="1"/>
  <c r="S124" i="3"/>
  <c r="N124" i="3" s="1"/>
  <c r="T124" i="3"/>
  <c r="U124" i="3"/>
  <c r="S113" i="3"/>
  <c r="N113" i="3" s="1"/>
  <c r="U113" i="3"/>
  <c r="T113" i="3"/>
  <c r="C13" i="5" l="1"/>
  <c r="K8" i="5" a="1"/>
  <c r="K8" i="5" s="1"/>
  <c r="J8" i="5" s="1"/>
  <c r="J6" i="5"/>
  <c r="W112" i="3"/>
  <c r="X112" i="3" s="1"/>
  <c r="AA112" i="3" s="1"/>
  <c r="W124" i="3"/>
  <c r="X124" i="3" s="1"/>
  <c r="AA124" i="3" s="1"/>
  <c r="W113" i="3"/>
  <c r="X113" i="3" s="1"/>
  <c r="AA113" i="3" s="1"/>
  <c r="B8" i="5"/>
  <c r="W125" i="3"/>
  <c r="X125" i="3" s="1"/>
  <c r="AA125" i="3" s="1"/>
  <c r="C15" i="5" l="1"/>
  <c r="C14" i="5"/>
  <c r="K9" i="5" a="1"/>
  <c r="K9" i="5" s="1"/>
  <c r="J9" i="5" s="1"/>
  <c r="N2" i="3"/>
  <c r="C10" i="5" s="1"/>
  <c r="O11" i="3"/>
  <c r="C11" i="5" s="1"/>
  <c r="K10" i="5" l="1" a="1"/>
  <c r="K10" i="5" s="1"/>
  <c r="J10" i="5" s="1"/>
  <c r="O6" i="3"/>
  <c r="K11" i="5" l="1" a="1"/>
  <c r="K11" i="5" s="1"/>
  <c r="J11" i="5" s="1"/>
  <c r="K12" i="5" l="1" a="1"/>
  <c r="K12" i="5" s="1"/>
  <c r="J12" i="5" s="1"/>
  <c r="K13" i="5" l="1" a="1"/>
  <c r="K13" i="5" s="1"/>
  <c r="J13" i="5" s="1"/>
  <c r="K14" i="5" l="1" a="1"/>
  <c r="K14" i="5" s="1"/>
  <c r="J14" i="5" s="1"/>
  <c r="K15" i="5" l="1" a="1"/>
  <c r="K15" i="5" s="1"/>
  <c r="K16" i="5" s="1" a="1"/>
  <c r="K16" i="5" s="1"/>
  <c r="J16" i="5" s="1"/>
  <c r="J15" i="5" l="1"/>
  <c r="K17" i="5" a="1"/>
  <c r="K17" i="5" s="1"/>
  <c r="J17" i="5" s="1"/>
  <c r="K18" i="5" l="1" a="1"/>
  <c r="K18" i="5" s="1"/>
  <c r="J18" i="5" s="1"/>
  <c r="K19" i="5" l="1" a="1"/>
  <c r="K19" i="5" s="1"/>
  <c r="J19" i="5" s="1"/>
  <c r="K20" i="5" l="1" a="1"/>
  <c r="K20" i="5" s="1"/>
  <c r="J20" i="5" s="1"/>
</calcChain>
</file>

<file path=xl/sharedStrings.xml><?xml version="1.0" encoding="utf-8"?>
<sst xmlns="http://schemas.openxmlformats.org/spreadsheetml/2006/main" count="92" uniqueCount="54">
  <si>
    <t>MMM-YY</t>
  </si>
  <si>
    <t>BASIC</t>
  </si>
  <si>
    <t>DA</t>
  </si>
  <si>
    <t>HRA</t>
  </si>
  <si>
    <t>MA</t>
  </si>
  <si>
    <t>IR</t>
  </si>
  <si>
    <t>GROSS</t>
  </si>
  <si>
    <t>PTAX</t>
  </si>
  <si>
    <t>PF</t>
  </si>
  <si>
    <t>I.TAX</t>
  </si>
  <si>
    <t>NET PAY</t>
  </si>
  <si>
    <t>I. TAX</t>
  </si>
  <si>
    <t>Arrear</t>
  </si>
  <si>
    <t>DRAWN</t>
  </si>
  <si>
    <t>DUE</t>
  </si>
  <si>
    <t>DA RATE</t>
  </si>
  <si>
    <t>DIFFERENCE</t>
  </si>
  <si>
    <t>BASIC PAY</t>
  </si>
  <si>
    <t>GRADE PAY</t>
  </si>
  <si>
    <t>DA%</t>
  </si>
  <si>
    <t>PAYABLE</t>
  </si>
  <si>
    <t>PAYABLE @</t>
  </si>
  <si>
    <t>P. TAX</t>
  </si>
  <si>
    <t>inc1</t>
  </si>
  <si>
    <t>inc2</t>
  </si>
  <si>
    <t>Month-Year</t>
  </si>
  <si>
    <t>Basic Pay</t>
  </si>
  <si>
    <t>Date of Joining</t>
  </si>
  <si>
    <t>10 yrs case</t>
  </si>
  <si>
    <t>10 Years Increment on</t>
  </si>
  <si>
    <t>20 Years Increment on</t>
  </si>
  <si>
    <t>&lt;10 Help</t>
  </si>
  <si>
    <t>Total DA Due</t>
  </si>
  <si>
    <t>Total DA Drawn</t>
  </si>
  <si>
    <t>Total DA Payable</t>
  </si>
  <si>
    <t>Date Range of Calculation</t>
  </si>
  <si>
    <t>Change of BP in this period</t>
  </si>
  <si>
    <t>1incre</t>
  </si>
  <si>
    <t>10 yr F</t>
  </si>
  <si>
    <t>2nd system</t>
  </si>
  <si>
    <t>&lt;10 F</t>
  </si>
  <si>
    <t>Nor.Incre.</t>
  </si>
  <si>
    <t>Date of 10 Year Increment</t>
  </si>
  <si>
    <t>20 years incre</t>
  </si>
  <si>
    <t>20 yr F</t>
  </si>
  <si>
    <t>FINAL</t>
  </si>
  <si>
    <t>10 &amp; 20 F</t>
  </si>
  <si>
    <t>If All Basic Pay does not match, then ignore the calculations.</t>
  </si>
  <si>
    <t>*Input in the cells highlighted in Yellow</t>
  </si>
  <si>
    <t>01-Apr-2008 to 31-Dec-2015</t>
  </si>
  <si>
    <t>1-Jan-2016 to 31-Dec-2019</t>
  </si>
  <si>
    <t>P. Tax may be payable</t>
  </si>
  <si>
    <t>March, 2026 Installment</t>
  </si>
  <si>
    <t>September, 2026 Installment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</si>
</sst>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\-yy;@"/>
    <numFmt numFmtId="165" formatCode="yyyy/mm/dd;@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rgb="FF0070C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B0F0"/>
      <name val="Arial"/>
      <family val="2"/>
    </font>
    <font>
      <sz val="10"/>
      <color rgb="FFFF00FF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theme="5"/>
      <name val="Arial"/>
      <family val="2"/>
    </font>
    <font>
      <b/>
      <sz val="10"/>
      <color rgb="FF00B050"/>
      <name val="Arial"/>
      <family val="2"/>
    </font>
    <font>
      <b/>
      <sz val="10"/>
      <color rgb="FF0070C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120">
    <xf numFmtId="0" fontId="0" fillId="0" borderId="0" xfId="0"/>
    <xf numFmtId="9" fontId="0" fillId="0" borderId="0" xfId="1" applyFont="1"/>
    <xf numFmtId="0" fontId="3" fillId="3" borderId="1" xfId="2" applyFont="1" applyFill="1" applyBorder="1" applyAlignment="1">
      <alignment horizontal="center" vertical="center"/>
    </xf>
    <xf numFmtId="0" fontId="5" fillId="0" borderId="0" xfId="2"/>
    <xf numFmtId="0" fontId="4" fillId="0" borderId="1" xfId="2" applyFont="1" applyBorder="1" applyAlignment="1">
      <alignment horizontal="center"/>
    </xf>
    <xf numFmtId="3" fontId="3" fillId="4" borderId="1" xfId="2" applyNumberFormat="1" applyFont="1" applyFill="1" applyBorder="1" applyAlignment="1">
      <alignment horizontal="center" vertical="center"/>
    </xf>
    <xf numFmtId="0" fontId="5" fillId="0" borderId="0" xfId="2" applyAlignment="1">
      <alignment horizontal="center"/>
    </xf>
    <xf numFmtId="164" fontId="5" fillId="0" borderId="0" xfId="2" applyNumberFormat="1" applyAlignment="1">
      <alignment horizontal="left"/>
    </xf>
    <xf numFmtId="3" fontId="5" fillId="0" borderId="0" xfId="2" applyNumberFormat="1"/>
    <xf numFmtId="3" fontId="5" fillId="0" borderId="0" xfId="2" applyNumberFormat="1" applyAlignment="1">
      <alignment vertical="center"/>
    </xf>
    <xf numFmtId="3" fontId="5" fillId="0" borderId="0" xfId="2" applyNumberFormat="1" applyAlignment="1">
      <alignment horizontal="right" vertical="center"/>
    </xf>
    <xf numFmtId="3" fontId="5" fillId="0" borderId="0" xfId="2" applyNumberFormat="1" applyAlignment="1">
      <alignment horizontal="center"/>
    </xf>
    <xf numFmtId="3" fontId="7" fillId="0" borderId="0" xfId="2" applyNumberFormat="1" applyFont="1" applyAlignment="1">
      <alignment horizontal="center"/>
    </xf>
    <xf numFmtId="3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vertical="center"/>
    </xf>
    <xf numFmtId="3" fontId="9" fillId="0" borderId="0" xfId="2" applyNumberFormat="1" applyFont="1"/>
    <xf numFmtId="3" fontId="9" fillId="0" borderId="0" xfId="2" applyNumberFormat="1" applyFont="1" applyAlignment="1">
      <alignment horizontal="center"/>
    </xf>
    <xf numFmtId="164" fontId="7" fillId="0" borderId="0" xfId="2" applyNumberFormat="1" applyFont="1" applyAlignment="1">
      <alignment horizontal="left"/>
    </xf>
    <xf numFmtId="3" fontId="7" fillId="0" borderId="0" xfId="2" applyNumberFormat="1" applyFont="1" applyAlignment="1">
      <alignment horizontal="right" vertical="center"/>
    </xf>
    <xf numFmtId="3" fontId="7" fillId="0" borderId="0" xfId="2" applyNumberFormat="1" applyFont="1" applyAlignment="1">
      <alignment vertical="center"/>
    </xf>
    <xf numFmtId="3" fontId="7" fillId="0" borderId="0" xfId="2" applyNumberFormat="1" applyFont="1"/>
    <xf numFmtId="0" fontId="7" fillId="0" borderId="0" xfId="2" applyFont="1"/>
    <xf numFmtId="164" fontId="10" fillId="0" borderId="0" xfId="2" applyNumberFormat="1" applyFont="1" applyAlignment="1">
      <alignment horizontal="left"/>
    </xf>
    <xf numFmtId="3" fontId="10" fillId="0" borderId="0" xfId="2" applyNumberFormat="1" applyFont="1" applyAlignment="1">
      <alignment horizontal="right" vertical="center"/>
    </xf>
    <xf numFmtId="3" fontId="10" fillId="0" borderId="0" xfId="2" applyNumberFormat="1" applyFont="1" applyAlignment="1">
      <alignment vertical="center"/>
    </xf>
    <xf numFmtId="3" fontId="10" fillId="0" borderId="0" xfId="2" applyNumberFormat="1" applyFont="1"/>
    <xf numFmtId="3" fontId="10" fillId="0" borderId="0" xfId="2" applyNumberFormat="1" applyFont="1" applyAlignment="1">
      <alignment horizontal="center"/>
    </xf>
    <xf numFmtId="0" fontId="10" fillId="0" borderId="0" xfId="2" applyFont="1"/>
    <xf numFmtId="164" fontId="9" fillId="0" borderId="0" xfId="2" applyNumberFormat="1" applyFont="1" applyAlignment="1">
      <alignment horizontal="left"/>
    </xf>
    <xf numFmtId="164" fontId="11" fillId="0" borderId="0" xfId="2" applyNumberFormat="1" applyFont="1" applyAlignment="1">
      <alignment horizontal="left"/>
    </xf>
    <xf numFmtId="3" fontId="11" fillId="0" borderId="0" xfId="2" applyNumberFormat="1" applyFont="1" applyAlignment="1">
      <alignment horizontal="right" vertical="center"/>
    </xf>
    <xf numFmtId="3" fontId="11" fillId="0" borderId="0" xfId="2" applyNumberFormat="1" applyFont="1" applyAlignment="1">
      <alignment vertical="center"/>
    </xf>
    <xf numFmtId="3" fontId="11" fillId="0" borderId="0" xfId="2" applyNumberFormat="1" applyFont="1"/>
    <xf numFmtId="3" fontId="11" fillId="0" borderId="0" xfId="2" applyNumberFormat="1" applyFont="1" applyAlignment="1">
      <alignment horizontal="center"/>
    </xf>
    <xf numFmtId="0" fontId="11" fillId="0" borderId="0" xfId="2" applyFont="1"/>
    <xf numFmtId="0" fontId="9" fillId="0" borderId="0" xfId="2" applyFont="1"/>
    <xf numFmtId="3" fontId="12" fillId="0" borderId="0" xfId="2" applyNumberFormat="1" applyFont="1" applyAlignment="1">
      <alignment vertical="center"/>
    </xf>
    <xf numFmtId="9" fontId="7" fillId="0" borderId="0" xfId="1" applyFont="1"/>
    <xf numFmtId="3" fontId="2" fillId="5" borderId="3" xfId="2" applyNumberFormat="1" applyFont="1" applyFill="1" applyBorder="1" applyAlignment="1">
      <alignment horizontal="center"/>
    </xf>
    <xf numFmtId="3" fontId="4" fillId="3" borderId="2" xfId="2" applyNumberFormat="1" applyFont="1" applyFill="1" applyBorder="1" applyAlignment="1">
      <alignment horizontal="center"/>
    </xf>
    <xf numFmtId="14" fontId="5" fillId="0" borderId="0" xfId="2" applyNumberFormat="1"/>
    <xf numFmtId="3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5" fillId="0" borderId="1" xfId="0" applyFont="1" applyBorder="1"/>
    <xf numFmtId="3" fontId="0" fillId="0" borderId="1" xfId="0" applyNumberFormat="1" applyBorder="1"/>
    <xf numFmtId="164" fontId="5" fillId="0" borderId="1" xfId="2" applyNumberFormat="1" applyBorder="1" applyAlignment="1">
      <alignment horizontal="left"/>
    </xf>
    <xf numFmtId="9" fontId="3" fillId="0" borderId="1" xfId="0" applyNumberFormat="1" applyFont="1" applyBorder="1" applyAlignment="1">
      <alignment horizontal="center"/>
    </xf>
    <xf numFmtId="3" fontId="3" fillId="0" borderId="1" xfId="0" applyNumberFormat="1" applyFont="1" applyBorder="1"/>
    <xf numFmtId="1" fontId="0" fillId="0" borderId="0" xfId="0" applyNumberFormat="1"/>
    <xf numFmtId="0" fontId="13" fillId="0" borderId="1" xfId="0" applyFont="1" applyBorder="1"/>
    <xf numFmtId="0" fontId="0" fillId="3" borderId="1" xfId="0" applyFill="1" applyBorder="1" applyProtection="1">
      <protection locked="0"/>
    </xf>
    <xf numFmtId="14" fontId="5" fillId="3" borderId="1" xfId="0" applyNumberFormat="1" applyFont="1" applyFill="1" applyBorder="1" applyProtection="1">
      <protection locked="0"/>
    </xf>
    <xf numFmtId="0" fontId="5" fillId="0" borderId="1" xfId="2" applyBorder="1"/>
    <xf numFmtId="0" fontId="5" fillId="0" borderId="1" xfId="2" applyBorder="1" applyAlignment="1">
      <alignment horizontal="center"/>
    </xf>
    <xf numFmtId="3" fontId="6" fillId="0" borderId="1" xfId="2" applyNumberFormat="1" applyFont="1" applyBorder="1" applyAlignment="1">
      <alignment vertical="center"/>
    </xf>
    <xf numFmtId="3" fontId="6" fillId="0" borderId="1" xfId="2" applyNumberFormat="1" applyFont="1" applyBorder="1" applyAlignment="1">
      <alignment horizontal="right" vertical="center"/>
    </xf>
    <xf numFmtId="3" fontId="5" fillId="0" borderId="1" xfId="2" applyNumberFormat="1" applyBorder="1" applyAlignment="1">
      <alignment vertical="center"/>
    </xf>
    <xf numFmtId="3" fontId="5" fillId="0" borderId="1" xfId="2" applyNumberFormat="1" applyBorder="1" applyAlignment="1">
      <alignment horizontal="right" vertical="center"/>
    </xf>
    <xf numFmtId="3" fontId="8" fillId="0" borderId="1" xfId="2" applyNumberFormat="1" applyFont="1" applyBorder="1" applyAlignment="1">
      <alignment horizontal="right" vertical="center"/>
    </xf>
    <xf numFmtId="3" fontId="7" fillId="0" borderId="1" xfId="2" applyNumberFormat="1" applyFont="1" applyBorder="1" applyAlignment="1">
      <alignment horizontal="right" vertical="center"/>
    </xf>
    <xf numFmtId="3" fontId="10" fillId="0" borderId="1" xfId="2" applyNumberFormat="1" applyFont="1" applyBorder="1" applyAlignment="1">
      <alignment horizontal="right" vertical="center"/>
    </xf>
    <xf numFmtId="0" fontId="5" fillId="0" borderId="5" xfId="2" applyBorder="1"/>
    <xf numFmtId="0" fontId="5" fillId="0" borderId="5" xfId="2" applyBorder="1" applyAlignment="1">
      <alignment horizontal="center"/>
    </xf>
    <xf numFmtId="164" fontId="5" fillId="0" borderId="0" xfId="2" applyNumberFormat="1"/>
    <xf numFmtId="0" fontId="4" fillId="0" borderId="0" xfId="2" applyFont="1" applyAlignment="1">
      <alignment horizontal="center"/>
    </xf>
    <xf numFmtId="3" fontId="5" fillId="0" borderId="0" xfId="2" applyNumberFormat="1" applyAlignment="1">
      <alignment horizontal="center" vertical="center"/>
    </xf>
    <xf numFmtId="0" fontId="5" fillId="0" borderId="5" xfId="2" applyBorder="1" applyAlignment="1">
      <alignment vertical="center"/>
    </xf>
    <xf numFmtId="0" fontId="5" fillId="0" borderId="1" xfId="2" applyBorder="1" applyAlignment="1">
      <alignment vertical="center"/>
    </xf>
    <xf numFmtId="0" fontId="5" fillId="0" borderId="0" xfId="2" applyAlignment="1">
      <alignment vertical="center"/>
    </xf>
    <xf numFmtId="0" fontId="7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14" fontId="5" fillId="0" borderId="0" xfId="2" applyNumberFormat="1" applyAlignment="1">
      <alignment vertical="center"/>
    </xf>
    <xf numFmtId="164" fontId="5" fillId="0" borderId="0" xfId="2" applyNumberFormat="1" applyAlignment="1">
      <alignment vertical="center"/>
    </xf>
    <xf numFmtId="3" fontId="14" fillId="0" borderId="1" xfId="2" applyNumberFormat="1" applyFont="1" applyBorder="1" applyAlignment="1">
      <alignment vertical="center"/>
    </xf>
    <xf numFmtId="0" fontId="14" fillId="0" borderId="1" xfId="0" applyFont="1" applyBorder="1" applyAlignment="1">
      <alignment horizontal="center"/>
    </xf>
    <xf numFmtId="3" fontId="5" fillId="9" borderId="1" xfId="2" applyNumberFormat="1" applyFill="1" applyBorder="1" applyAlignment="1">
      <alignment vertical="center"/>
    </xf>
    <xf numFmtId="0" fontId="3" fillId="3" borderId="1" xfId="2" applyFont="1" applyFill="1" applyBorder="1" applyAlignment="1" applyProtection="1">
      <alignment horizontal="center" vertical="center"/>
      <protection hidden="1"/>
    </xf>
    <xf numFmtId="3" fontId="3" fillId="4" borderId="1" xfId="2" applyNumberFormat="1" applyFont="1" applyFill="1" applyBorder="1" applyAlignment="1" applyProtection="1">
      <alignment horizontal="center" vertical="center"/>
      <protection hidden="1"/>
    </xf>
    <xf numFmtId="0" fontId="4" fillId="0" borderId="1" xfId="2" applyFont="1" applyBorder="1" applyAlignment="1" applyProtection="1">
      <alignment horizontal="center"/>
      <protection hidden="1"/>
    </xf>
    <xf numFmtId="3" fontId="4" fillId="3" borderId="1" xfId="2" applyNumberFormat="1" applyFont="1" applyFill="1" applyBorder="1" applyAlignment="1" applyProtection="1">
      <alignment horizontal="center"/>
      <protection hidden="1"/>
    </xf>
    <xf numFmtId="3" fontId="2" fillId="5" borderId="1" xfId="2" applyNumberFormat="1" applyFont="1" applyFill="1" applyBorder="1" applyAlignment="1" applyProtection="1">
      <alignment horizontal="center"/>
      <protection hidden="1"/>
    </xf>
    <xf numFmtId="164" fontId="5" fillId="0" borderId="1" xfId="2" applyNumberFormat="1" applyBorder="1" applyAlignment="1" applyProtection="1">
      <alignment horizontal="left" vertical="center"/>
      <protection hidden="1"/>
    </xf>
    <xf numFmtId="9" fontId="5" fillId="0" borderId="1" xfId="1" applyFont="1" applyBorder="1" applyAlignment="1" applyProtection="1">
      <alignment vertical="center"/>
      <protection hidden="1"/>
    </xf>
    <xf numFmtId="0" fontId="5" fillId="0" borderId="1" xfId="2" applyBorder="1" applyAlignment="1" applyProtection="1">
      <alignment vertical="center"/>
      <protection hidden="1"/>
    </xf>
    <xf numFmtId="3" fontId="5" fillId="0" borderId="1" xfId="2" applyNumberFormat="1" applyBorder="1" applyAlignment="1" applyProtection="1">
      <alignment vertical="center"/>
      <protection hidden="1"/>
    </xf>
    <xf numFmtId="3" fontId="5" fillId="0" borderId="1" xfId="2" applyNumberFormat="1" applyBorder="1" applyAlignment="1" applyProtection="1">
      <alignment horizontal="right" vertical="center"/>
      <protection hidden="1"/>
    </xf>
    <xf numFmtId="3" fontId="5" fillId="0" borderId="1" xfId="2" applyNumberFormat="1" applyBorder="1" applyAlignment="1" applyProtection="1">
      <alignment horizontal="center" vertical="center"/>
      <protection hidden="1"/>
    </xf>
    <xf numFmtId="9" fontId="3" fillId="3" borderId="1" xfId="1" applyFont="1" applyFill="1" applyBorder="1" applyAlignment="1" applyProtection="1">
      <alignment horizontal="center" vertical="center"/>
      <protection hidden="1"/>
    </xf>
    <xf numFmtId="3" fontId="3" fillId="5" borderId="1" xfId="2" applyNumberFormat="1" applyFont="1" applyFill="1" applyBorder="1" applyAlignment="1" applyProtection="1">
      <alignment horizontal="center" vertical="center"/>
      <protection hidden="1"/>
    </xf>
    <xf numFmtId="14" fontId="5" fillId="0" borderId="1" xfId="2" applyNumberFormat="1" applyBorder="1" applyAlignment="1" applyProtection="1">
      <alignment vertical="center"/>
      <protection hidden="1"/>
    </xf>
    <xf numFmtId="0" fontId="3" fillId="6" borderId="1" xfId="2" applyFont="1" applyFill="1" applyBorder="1" applyAlignment="1" applyProtection="1">
      <alignment horizontal="center" vertical="center"/>
      <protection hidden="1"/>
    </xf>
    <xf numFmtId="3" fontId="3" fillId="6" borderId="1" xfId="2" applyNumberFormat="1" applyFont="1" applyFill="1" applyBorder="1" applyAlignment="1" applyProtection="1">
      <alignment horizontal="center" vertical="center"/>
      <protection hidden="1"/>
    </xf>
    <xf numFmtId="14" fontId="3" fillId="0" borderId="1" xfId="2" applyNumberFormat="1" applyFont="1" applyBorder="1" applyAlignment="1" applyProtection="1">
      <alignment horizontal="center" vertical="center"/>
      <protection hidden="1"/>
    </xf>
    <xf numFmtId="0" fontId="5" fillId="0" borderId="1" xfId="2" applyBorder="1" applyAlignment="1" applyProtection="1">
      <alignment horizontal="center" vertical="center"/>
      <protection hidden="1"/>
    </xf>
    <xf numFmtId="1" fontId="3" fillId="0" borderId="1" xfId="2" applyNumberFormat="1" applyFont="1" applyBorder="1" applyAlignment="1" applyProtection="1">
      <alignment horizontal="center" vertical="center"/>
      <protection hidden="1"/>
    </xf>
    <xf numFmtId="165" fontId="5" fillId="0" borderId="1" xfId="2" applyNumberFormat="1" applyBorder="1" applyAlignment="1" applyProtection="1">
      <alignment horizontal="center" vertical="center"/>
      <protection hidden="1"/>
    </xf>
    <xf numFmtId="14" fontId="5" fillId="7" borderId="1" xfId="2" applyNumberFormat="1" applyFill="1" applyBorder="1" applyAlignment="1" applyProtection="1">
      <alignment horizontal="center" vertical="center"/>
      <protection hidden="1"/>
    </xf>
    <xf numFmtId="1" fontId="5" fillId="0" borderId="1" xfId="2" applyNumberFormat="1" applyBorder="1" applyAlignment="1" applyProtection="1">
      <alignment horizontal="right" vertical="center"/>
      <protection hidden="1"/>
    </xf>
    <xf numFmtId="0" fontId="3" fillId="0" borderId="1" xfId="2" applyFont="1" applyBorder="1" applyAlignment="1" applyProtection="1">
      <alignment horizontal="center" vertical="center"/>
      <protection hidden="1"/>
    </xf>
    <xf numFmtId="0" fontId="14" fillId="0" borderId="0" xfId="0" applyFont="1"/>
    <xf numFmtId="3" fontId="0" fillId="0" borderId="4" xfId="0" applyNumberFormat="1" applyBorder="1" applyAlignment="1">
      <alignment horizontal="right"/>
    </xf>
    <xf numFmtId="3" fontId="0" fillId="0" borderId="5" xfId="0" applyNumberFormat="1" applyBorder="1" applyAlignment="1">
      <alignment horizontal="right"/>
    </xf>
    <xf numFmtId="0" fontId="5" fillId="8" borderId="1" xfId="0" applyFont="1" applyFill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3" fillId="7" borderId="1" xfId="2" applyFont="1" applyFill="1" applyBorder="1" applyAlignment="1" applyProtection="1">
      <alignment horizontal="center"/>
      <protection hidden="1"/>
    </xf>
    <xf numFmtId="0" fontId="3" fillId="9" borderId="1" xfId="2" applyFont="1" applyFill="1" applyBorder="1" applyAlignment="1" applyProtection="1">
      <alignment horizontal="center"/>
      <protection hidden="1"/>
    </xf>
    <xf numFmtId="0" fontId="5" fillId="0" borderId="1" xfId="2" applyBorder="1" applyAlignment="1" applyProtection="1">
      <alignment horizontal="center" vertical="center" wrapText="1"/>
      <protection hidden="1"/>
    </xf>
    <xf numFmtId="0" fontId="2" fillId="2" borderId="1" xfId="2" applyFont="1" applyFill="1" applyBorder="1" applyAlignment="1">
      <alignment horizontal="center"/>
    </xf>
    <xf numFmtId="0" fontId="13" fillId="0" borderId="1" xfId="0" applyFont="1" applyBorder="1" applyAlignment="1">
      <alignment horizontal="right"/>
    </xf>
    <xf numFmtId="14" fontId="2" fillId="0" borderId="1" xfId="0" applyNumberFormat="1" applyFont="1" applyBorder="1" applyAlignment="1">
      <alignment horizontal="center"/>
    </xf>
    <xf numFmtId="3" fontId="15" fillId="0" borderId="1" xfId="0" applyNumberFormat="1" applyFont="1" applyBorder="1"/>
    <xf numFmtId="3" fontId="5" fillId="0" borderId="1" xfId="0" applyNumberFormat="1" applyFont="1" applyBorder="1"/>
    <xf numFmtId="0" fontId="3" fillId="0" borderId="1" xfId="0" applyFont="1" applyBorder="1"/>
    <xf numFmtId="3" fontId="13" fillId="0" borderId="1" xfId="0" applyNumberFormat="1" applyFont="1" applyBorder="1"/>
    <xf numFmtId="0" fontId="16" fillId="0" borderId="1" xfId="0" applyFont="1" applyBorder="1" applyAlignment="1">
      <alignment horizontal="right"/>
    </xf>
    <xf numFmtId="3" fontId="16" fillId="0" borderId="1" xfId="0" applyNumberFormat="1" applyFont="1" applyBorder="1"/>
    <xf numFmtId="0" fontId="15" fillId="0" borderId="1" xfId="0" applyFont="1" applyBorder="1" applyAlignment="1">
      <alignment horizontal="center"/>
    </xf>
    <xf numFmtId="9" fontId="15" fillId="3" borderId="1" xfId="0" applyNumberFormat="1" applyFont="1" applyFill="1" applyBorder="1" applyAlignment="1" applyProtection="1">
      <alignment horizontal="center"/>
      <protection locked="0"/>
    </xf>
  </cellXfs>
  <cellStyles count="3">
    <cellStyle name="Normal" xfId="0" builtinId="0"/>
    <cellStyle name="Normal 2" xfId="2" xr:uid="{A5D60827-6E1F-4E05-8448-8E1CC5A69BB3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C56C5-F8C5-409F-AB86-A5A1804402F0}">
  <dimension ref="A1:M227"/>
  <sheetViews>
    <sheetView tabSelected="1" workbookViewId="0">
      <selection activeCell="D21" sqref="D21"/>
    </sheetView>
  </sheetViews>
  <sheetFormatPr defaultColWidth="0" defaultRowHeight="13.2" zeroHeight="1" x14ac:dyDescent="0.25"/>
  <cols>
    <col min="1" max="1" width="26.44140625" bestFit="1" customWidth="1"/>
    <col min="2" max="2" width="11.5546875" customWidth="1"/>
    <col min="3" max="3" width="10.77734375" bestFit="1" customWidth="1"/>
    <col min="4" max="4" width="6.5546875" customWidth="1"/>
    <col min="5" max="9" width="8.88671875" hidden="1" customWidth="1"/>
    <col min="10" max="10" width="10.44140625" bestFit="1" customWidth="1"/>
    <col min="11" max="11" width="9.33203125" bestFit="1" customWidth="1"/>
    <col min="12" max="12" width="9.21875" customWidth="1"/>
    <col min="13" max="13" width="5.77734375" customWidth="1"/>
    <col min="14" max="16384" width="8.88671875" hidden="1"/>
  </cols>
  <sheetData>
    <row r="1" spans="1:13" x14ac:dyDescent="0.25">
      <c r="J1" s="104" t="s">
        <v>36</v>
      </c>
      <c r="K1" s="104"/>
      <c r="L1" s="104"/>
    </row>
    <row r="2" spans="1:13" x14ac:dyDescent="0.25">
      <c r="A2" s="51" t="s">
        <v>27</v>
      </c>
      <c r="B2" s="53">
        <v>39366</v>
      </c>
      <c r="C2" s="76" t="str">
        <f>IF(AND(B2&gt;$B$5,B2&lt;$C$5),"Y","N")</f>
        <v>N</v>
      </c>
      <c r="J2" s="42" t="s">
        <v>25</v>
      </c>
      <c r="K2" s="42" t="s">
        <v>26</v>
      </c>
      <c r="L2" s="45" t="s">
        <v>41</v>
      </c>
    </row>
    <row r="3" spans="1:13" x14ac:dyDescent="0.25">
      <c r="A3" s="51" t="str">
        <f>"Basic Pay on "&amp;IF(B2&gt;B5,"Date of Joining","Apr-2008")</f>
        <v>Basic Pay on Apr-2008</v>
      </c>
      <c r="B3" s="52">
        <v>15960</v>
      </c>
      <c r="C3" s="44" t="str">
        <f>IF(B2&gt;B5,"J","")</f>
        <v/>
      </c>
      <c r="J3" s="47">
        <f>IFERROR(INDEX('ROPA-09'!A:A,MATCH(K3,'ROPA-09'!C:C,0)),"")</f>
        <v>39539</v>
      </c>
      <c r="K3" s="46">
        <f t="array" ref="K3">IFERROR(INDEX('ROPA-09'!$C$3:$C$143,MATCH(0,COUNTIF($K$2:K2,'ROPA-09'!$C$3:$C$143),0)),"")</f>
        <v>15960</v>
      </c>
      <c r="L3" s="46">
        <f>K3</f>
        <v>15960</v>
      </c>
    </row>
    <row r="4" spans="1:13" x14ac:dyDescent="0.25">
      <c r="J4" s="47">
        <f>IFERROR(INDEX('ROPA-09'!A:A,MATCH(K4,'ROPA-09'!C:C,0)),"")</f>
        <v>39630</v>
      </c>
      <c r="K4" s="46">
        <f t="array" ref="K4">IFERROR(INDEX('ROPA-09'!$C$3:$C$143,MATCH(0,COUNTIF($K$2:K3,'ROPA-09'!$C$3:$C$143),0)),"")</f>
        <v>16440</v>
      </c>
      <c r="L4" s="46">
        <f>IF(L3=0,B3,L3+IF(MOD(L3*0.03,10)&gt;=1,L3*0.03-MOD(L3*0.03,10)+10,L3*0.03-MOD(L3*0.03,10)))</f>
        <v>16440</v>
      </c>
    </row>
    <row r="5" spans="1:13" x14ac:dyDescent="0.25">
      <c r="A5" s="45" t="s">
        <v>35</v>
      </c>
      <c r="B5" s="43">
        <v>39539</v>
      </c>
      <c r="C5" s="43">
        <v>43830</v>
      </c>
      <c r="J5" s="47">
        <f>IFERROR(INDEX('ROPA-09'!A:A,MATCH(K5,'ROPA-09'!C:C,0)),"")</f>
        <v>39995</v>
      </c>
      <c r="K5" s="46">
        <f t="array" ref="K5">IFERROR(INDEX('ROPA-09'!$C$3:$C$143,MATCH(0,COUNTIF($K$2:K4,'ROPA-09'!$C$3:$C$143),0)),"")</f>
        <v>16940</v>
      </c>
      <c r="L5" s="46">
        <f t="shared" ref="L5:L20" si="0">L4+IF(MOD(L4*0.03,10)&gt;=1,L4*0.03-MOD(L4*0.03,10)+10,L4*0.03-MOD(L4*0.03,10))</f>
        <v>16940</v>
      </c>
      <c r="M5" s="50"/>
    </row>
    <row r="6" spans="1:13" x14ac:dyDescent="0.25">
      <c r="A6" s="45" t="s">
        <v>29</v>
      </c>
      <c r="B6" s="43">
        <f>DATE(YEAR(Arrear!B2)+10,MONTH(Arrear!B2)+IF(MONTH(B2)&lt;=6,7-MONTH(B2),0),DAY(Arrear!B2))</f>
        <v>43019</v>
      </c>
      <c r="C6" s="44" t="str">
        <f>IF(AND(B6&gt;$B$5,B6&lt;$C$5),"Y","N")</f>
        <v>Y</v>
      </c>
      <c r="J6" s="47">
        <f>IFERROR(INDEX('ROPA-09'!A:A,MATCH(K6,'ROPA-09'!C:C,0)),"")</f>
        <v>40360</v>
      </c>
      <c r="K6" s="46">
        <f t="array" ref="K6">IFERROR(INDEX('ROPA-09'!$C$3:$C$143,MATCH(0,COUNTIF($K$2:K5,'ROPA-09'!$C$3:$C$143),0)),"")</f>
        <v>17450</v>
      </c>
      <c r="L6" s="46">
        <f t="shared" si="0"/>
        <v>17450</v>
      </c>
    </row>
    <row r="7" spans="1:13" x14ac:dyDescent="0.25">
      <c r="A7" s="45" t="s">
        <v>30</v>
      </c>
      <c r="B7" s="43">
        <f>DATE(YEAR(Arrear!B2)+20,MONTH(Arrear!B2)+IF(MONTH(B2)&lt;=6,7-MONTH(B2),0),DAY(Arrear!B2))</f>
        <v>46671</v>
      </c>
      <c r="C7" s="44" t="str">
        <f>IF(AND(B7&gt;$B$5,B7&lt;$C$5),"Y","N")</f>
        <v>N</v>
      </c>
      <c r="J7" s="47">
        <f>IFERROR(INDEX('ROPA-09'!A:A,MATCH(K7,'ROPA-09'!C:C,0)),"")</f>
        <v>40725</v>
      </c>
      <c r="K7" s="46">
        <f t="array" ref="K7">IFERROR(INDEX('ROPA-09'!$C$3:$C$143,MATCH(0,COUNTIF($K$2:K6,'ROPA-09'!$C$3:$C$143),0)),"")</f>
        <v>17980</v>
      </c>
      <c r="L7" s="46">
        <f t="shared" si="0"/>
        <v>17980</v>
      </c>
    </row>
    <row r="8" spans="1:13" x14ac:dyDescent="0.25">
      <c r="A8" s="45" t="s">
        <v>32</v>
      </c>
      <c r="B8" s="102">
        <f>SUM('ROPA-09'!S:S)</f>
        <v>2632109</v>
      </c>
      <c r="C8" s="103"/>
      <c r="J8" s="47">
        <f>IFERROR(INDEX('ROPA-09'!A:A,MATCH(K8,'ROPA-09'!C:C,0)),"")</f>
        <v>41091</v>
      </c>
      <c r="K8" s="46">
        <f t="array" ref="K8">IFERROR(INDEX('ROPA-09'!$C$3:$C$143,MATCH(0,COUNTIF($K$2:K7,'ROPA-09'!$C$3:$C$143),0)),"")</f>
        <v>18520</v>
      </c>
      <c r="L8" s="46">
        <f t="shared" si="0"/>
        <v>18520</v>
      </c>
    </row>
    <row r="9" spans="1:13" x14ac:dyDescent="0.25">
      <c r="A9" s="45" t="s">
        <v>33</v>
      </c>
      <c r="B9" s="102">
        <f>SUM('ROPA-09'!D:D)</f>
        <v>1693397</v>
      </c>
      <c r="C9" s="103"/>
      <c r="J9" s="47">
        <f>IFERROR(INDEX('ROPA-09'!A:A,MATCH(K9,'ROPA-09'!C:C,0)),"")</f>
        <v>41456</v>
      </c>
      <c r="K9" s="46">
        <f t="array" ref="K9">IFERROR(INDEX('ROPA-09'!$C$3:$C$143,MATCH(0,COUNTIF($K$2:K8,'ROPA-09'!$C$3:$C$143),0)),"")</f>
        <v>19080</v>
      </c>
      <c r="L9" s="46">
        <f t="shared" si="0"/>
        <v>19080</v>
      </c>
    </row>
    <row r="10" spans="1:13" x14ac:dyDescent="0.25">
      <c r="A10" s="114" t="s">
        <v>34</v>
      </c>
      <c r="B10" s="48">
        <v>1</v>
      </c>
      <c r="C10" s="49">
        <f>'ROPA-09'!N2</f>
        <v>938712</v>
      </c>
      <c r="J10" s="47">
        <f>IFERROR(INDEX('ROPA-09'!A:A,MATCH(K10,'ROPA-09'!C:C,0)),"")</f>
        <v>41821</v>
      </c>
      <c r="K10" s="46">
        <f t="array" ref="K10">IFERROR(INDEX('ROPA-09'!$C$3:$C$143,MATCH(0,COUNTIF($K$2:K9,'ROPA-09'!$C$3:$C$143),0)),"")</f>
        <v>19660</v>
      </c>
      <c r="L10" s="46">
        <f t="shared" si="0"/>
        <v>19660</v>
      </c>
    </row>
    <row r="11" spans="1:13" x14ac:dyDescent="0.25">
      <c r="A11" s="45" t="s">
        <v>51</v>
      </c>
      <c r="B11" s="45"/>
      <c r="C11" s="113">
        <f>'ROPA-09'!O11</f>
        <v>1920</v>
      </c>
      <c r="J11" s="47">
        <f>IFERROR(INDEX('ROPA-09'!A:A,MATCH(K11,'ROPA-09'!C:C,0)),"")</f>
        <v>42186</v>
      </c>
      <c r="K11" s="46">
        <f t="array" ref="K11">IFERROR(INDEX('ROPA-09'!$C$3:$C$143,MATCH(0,COUNTIF($K$2:K10,'ROPA-09'!$C$3:$C$143),0)),"")</f>
        <v>20250</v>
      </c>
      <c r="L11" s="46">
        <f t="shared" si="0"/>
        <v>20250</v>
      </c>
    </row>
    <row r="12" spans="1:13" x14ac:dyDescent="0.25">
      <c r="A12" s="110" t="s">
        <v>49</v>
      </c>
      <c r="B12" s="111">
        <v>42369</v>
      </c>
      <c r="C12" s="115">
        <f>SUM('ROPA-09'!S3:S95)-SUM('ROPA-09'!D3:D95)</f>
        <v>456060</v>
      </c>
      <c r="J12" s="47">
        <f>IFERROR(INDEX('ROPA-09'!A:A,MATCH(K12,'ROPA-09'!C:C,0)),"")</f>
        <v>42552</v>
      </c>
      <c r="K12" s="46">
        <f t="array" ref="K12">IFERROR(INDEX('ROPA-09'!$C$3:$C$143,MATCH(0,COUNTIF($K$2:K11,'ROPA-09'!$C$3:$C$143),0)),"")</f>
        <v>20860</v>
      </c>
      <c r="L12" s="46">
        <f t="shared" si="0"/>
        <v>20860</v>
      </c>
    </row>
    <row r="13" spans="1:13" x14ac:dyDescent="0.25">
      <c r="A13" s="116" t="s">
        <v>50</v>
      </c>
      <c r="B13" s="111">
        <v>42370</v>
      </c>
      <c r="C13" s="117">
        <f>SUM('ROPA-09'!S96:S143)-SUM('ROPA-09'!D96:D143)</f>
        <v>482652</v>
      </c>
      <c r="J13" s="47">
        <f>IFERROR(INDEX('ROPA-09'!A:A,MATCH(K13,'ROPA-09'!C:C,0)),"")</f>
        <v>42917</v>
      </c>
      <c r="K13" s="46">
        <f t="array" ref="K13">IFERROR(INDEX('ROPA-09'!$C$3:$C$143,MATCH(0,COUNTIF($K$2:K12,'ROPA-09'!$C$3:$C$143),0)),"")</f>
        <v>21490</v>
      </c>
      <c r="L13" s="46">
        <f t="shared" si="0"/>
        <v>21490</v>
      </c>
    </row>
    <row r="14" spans="1:13" x14ac:dyDescent="0.25">
      <c r="A14" s="118" t="s">
        <v>52</v>
      </c>
      <c r="B14" s="119">
        <v>0.5</v>
      </c>
      <c r="C14" s="112">
        <f>C13*B14</f>
        <v>241326</v>
      </c>
      <c r="J14" s="47">
        <f>IFERROR(INDEX('ROPA-09'!A:A,MATCH(K14,'ROPA-09'!C:C,0)),"")</f>
        <v>43009</v>
      </c>
      <c r="K14" s="46">
        <f t="array" ref="K14">IFERROR(INDEX('ROPA-09'!$C$3:$C$143,MATCH(0,COUNTIF($K$2:K13,'ROPA-09'!$C$3:$C$143),0)),"")</f>
        <v>21930</v>
      </c>
      <c r="L14" s="46">
        <f t="shared" si="0"/>
        <v>22140</v>
      </c>
    </row>
    <row r="15" spans="1:13" x14ac:dyDescent="0.25">
      <c r="A15" s="118" t="s">
        <v>53</v>
      </c>
      <c r="B15" s="119">
        <v>0.5</v>
      </c>
      <c r="C15" s="112">
        <f>C13*B15</f>
        <v>241326</v>
      </c>
      <c r="J15" s="47">
        <f>IFERROR(INDEX('ROPA-09'!A:A,MATCH(K15,'ROPA-09'!C:C,0)),"")</f>
        <v>43040</v>
      </c>
      <c r="K15" s="46">
        <f t="array" ref="K15">IFERROR(INDEX('ROPA-09'!$C$3:$C$143,MATCH(0,COUNTIF($K$2:K14,'ROPA-09'!$C$3:$C$143),0)),"")</f>
        <v>22140</v>
      </c>
      <c r="L15" s="46">
        <f t="shared" si="0"/>
        <v>22810</v>
      </c>
    </row>
    <row r="16" spans="1:13" x14ac:dyDescent="0.25">
      <c r="J16" s="47">
        <f>IFERROR(INDEX('ROPA-09'!A:A,MATCH(K16,'ROPA-09'!C:C,0)),"")</f>
        <v>43282</v>
      </c>
      <c r="K16" s="46">
        <f t="array" ref="K16">IFERROR(INDEX('ROPA-09'!$C$3:$C$143,MATCH(0,COUNTIF($K$2:K15,'ROPA-09'!$C$3:$C$143),0)),"")</f>
        <v>22810</v>
      </c>
      <c r="L16" s="46">
        <f t="shared" si="0"/>
        <v>23500</v>
      </c>
    </row>
    <row r="17" spans="1:12" x14ac:dyDescent="0.25">
      <c r="J17" s="47">
        <f>IFERROR(INDEX('ROPA-09'!A:A,MATCH(K17,'ROPA-09'!C:C,0)),"")</f>
        <v>43647</v>
      </c>
      <c r="K17" s="46">
        <f t="array" ref="K17">IFERROR(INDEX('ROPA-09'!$C$3:$C$143,MATCH(0,COUNTIF($K$2:K16,'ROPA-09'!$C$3:$C$143),0)),"")</f>
        <v>23500</v>
      </c>
      <c r="L17" s="46">
        <f t="shared" si="0"/>
        <v>24210</v>
      </c>
    </row>
    <row r="18" spans="1:12" x14ac:dyDescent="0.25">
      <c r="J18" s="47" t="str">
        <f>IFERROR(INDEX('ROPA-09'!A:A,MATCH(K18,'ROPA-09'!C:C,0)),"")</f>
        <v/>
      </c>
      <c r="K18" s="46" t="str">
        <f t="array" ref="K18">IFERROR(INDEX('ROPA-09'!$C$3:$C$143,MATCH(0,COUNTIF($K$2:K17,'ROPA-09'!$C$3:$C$143),0)),"")</f>
        <v/>
      </c>
      <c r="L18" s="46">
        <f t="shared" si="0"/>
        <v>24940</v>
      </c>
    </row>
    <row r="19" spans="1:12" x14ac:dyDescent="0.25">
      <c r="J19" s="47" t="str">
        <f>IFERROR(INDEX('ROPA-09'!A:A,MATCH(K19,'ROPA-09'!C:C,0)),"")</f>
        <v/>
      </c>
      <c r="K19" s="46" t="str">
        <f t="array" ref="K19">IFERROR(INDEX('ROPA-09'!$C$3:$C$143,MATCH(0,COUNTIF($K$2:K18,'ROPA-09'!$C$3:$C$143),0)),"")</f>
        <v/>
      </c>
      <c r="L19" s="46">
        <f t="shared" si="0"/>
        <v>25690</v>
      </c>
    </row>
    <row r="20" spans="1:12" x14ac:dyDescent="0.25">
      <c r="J20" s="47" t="str">
        <f>IFERROR(INDEX('ROPA-09'!A:A,MATCH(K20,'ROPA-09'!C:C,0)),"")</f>
        <v/>
      </c>
      <c r="K20" s="46" t="str">
        <f t="array" ref="K20">IFERROR(INDEX('ROPA-09'!$C$3:$C$143,MATCH(0,COUNTIF($K$2:K19,'ROPA-09'!$C$3:$C$143),0)),"")</f>
        <v/>
      </c>
      <c r="L20" s="46">
        <f t="shared" si="0"/>
        <v>26460</v>
      </c>
    </row>
    <row r="21" spans="1:12" x14ac:dyDescent="0.25"/>
    <row r="22" spans="1:12" x14ac:dyDescent="0.25">
      <c r="A22" s="101" t="s">
        <v>48</v>
      </c>
      <c r="J22" s="105" t="s">
        <v>47</v>
      </c>
      <c r="K22" s="105"/>
      <c r="L22" s="105"/>
    </row>
    <row r="23" spans="1:12" x14ac:dyDescent="0.25">
      <c r="J23" s="105"/>
      <c r="K23" s="105"/>
      <c r="L23" s="105"/>
    </row>
    <row r="24" spans="1:12" x14ac:dyDescent="0.25"/>
    <row r="25" spans="1:12" x14ac:dyDescent="0.25"/>
    <row r="33" customFormat="1" hidden="1" x14ac:dyDescent="0.25"/>
    <row r="34" customFormat="1" hidden="1" x14ac:dyDescent="0.25"/>
    <row r="35" customFormat="1" hidden="1" x14ac:dyDescent="0.25"/>
    <row r="36" customFormat="1" hidden="1" x14ac:dyDescent="0.25"/>
    <row r="37" customFormat="1" hidden="1" x14ac:dyDescent="0.25"/>
    <row r="38" customFormat="1" hidden="1" x14ac:dyDescent="0.25"/>
    <row r="39" customFormat="1" hidden="1" x14ac:dyDescent="0.25"/>
    <row r="40" customFormat="1" hidden="1" x14ac:dyDescent="0.25"/>
    <row r="41" customFormat="1" hidden="1" x14ac:dyDescent="0.25"/>
    <row r="42" customFormat="1" hidden="1" x14ac:dyDescent="0.25"/>
    <row r="43" customFormat="1" hidden="1" x14ac:dyDescent="0.25"/>
    <row r="44" customFormat="1" hidden="1" x14ac:dyDescent="0.25"/>
    <row r="45" customFormat="1" hidden="1" x14ac:dyDescent="0.25"/>
    <row r="46" customFormat="1" hidden="1" x14ac:dyDescent="0.25"/>
    <row r="47" customFormat="1" hidden="1" x14ac:dyDescent="0.25"/>
    <row r="48" customFormat="1" hidden="1" x14ac:dyDescent="0.25"/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  <row r="81" customFormat="1" hidden="1" x14ac:dyDescent="0.25"/>
    <row r="82" customFormat="1" hidden="1" x14ac:dyDescent="0.25"/>
    <row r="83" customFormat="1" hidden="1" x14ac:dyDescent="0.25"/>
    <row r="84" customFormat="1" hidden="1" x14ac:dyDescent="0.25"/>
    <row r="85" customFormat="1" hidden="1" x14ac:dyDescent="0.25"/>
    <row r="86" customFormat="1" hidden="1" x14ac:dyDescent="0.25"/>
    <row r="87" customFormat="1" hidden="1" x14ac:dyDescent="0.25"/>
    <row r="88" customFormat="1" hidden="1" x14ac:dyDescent="0.25"/>
    <row r="89" customFormat="1" hidden="1" x14ac:dyDescent="0.25"/>
    <row r="90" customFormat="1" hidden="1" x14ac:dyDescent="0.25"/>
    <row r="91" customFormat="1" hidden="1" x14ac:dyDescent="0.25"/>
    <row r="92" customFormat="1" hidden="1" x14ac:dyDescent="0.25"/>
    <row r="93" customFormat="1" hidden="1" x14ac:dyDescent="0.25"/>
    <row r="94" customFormat="1" hidden="1" x14ac:dyDescent="0.25"/>
    <row r="95" customFormat="1" hidden="1" x14ac:dyDescent="0.25"/>
    <row r="96" customFormat="1" hidden="1" x14ac:dyDescent="0.25"/>
    <row r="97" customFormat="1" hidden="1" x14ac:dyDescent="0.25"/>
    <row r="98" customFormat="1" hidden="1" x14ac:dyDescent="0.25"/>
    <row r="99" customFormat="1" hidden="1" x14ac:dyDescent="0.25"/>
    <row r="100" customFormat="1" hidden="1" x14ac:dyDescent="0.25"/>
    <row r="101" customFormat="1" hidden="1" x14ac:dyDescent="0.25"/>
    <row r="102" customFormat="1" hidden="1" x14ac:dyDescent="0.25"/>
    <row r="103" customFormat="1" hidden="1" x14ac:dyDescent="0.25"/>
    <row r="104" customFormat="1" hidden="1" x14ac:dyDescent="0.25"/>
    <row r="105" customFormat="1" hidden="1" x14ac:dyDescent="0.25"/>
    <row r="106" customFormat="1" hidden="1" x14ac:dyDescent="0.25"/>
    <row r="107" customFormat="1" hidden="1" x14ac:dyDescent="0.25"/>
    <row r="108" customFormat="1" hidden="1" x14ac:dyDescent="0.25"/>
    <row r="109" customFormat="1" hidden="1" x14ac:dyDescent="0.25"/>
    <row r="110" customFormat="1" hidden="1" x14ac:dyDescent="0.25"/>
    <row r="111" customFormat="1" hidden="1" x14ac:dyDescent="0.25"/>
    <row r="112" customFormat="1" hidden="1" x14ac:dyDescent="0.25"/>
    <row r="113" customFormat="1" hidden="1" x14ac:dyDescent="0.25"/>
    <row r="114" customFormat="1" hidden="1" x14ac:dyDescent="0.25"/>
    <row r="115" customFormat="1" hidden="1" x14ac:dyDescent="0.25"/>
    <row r="116" customFormat="1" hidden="1" x14ac:dyDescent="0.25"/>
    <row r="117" customFormat="1" hidden="1" x14ac:dyDescent="0.25"/>
    <row r="118" customFormat="1" hidden="1" x14ac:dyDescent="0.25"/>
    <row r="119" customFormat="1" hidden="1" x14ac:dyDescent="0.25"/>
    <row r="120" customFormat="1" hidden="1" x14ac:dyDescent="0.25"/>
    <row r="121" customFormat="1" hidden="1" x14ac:dyDescent="0.25"/>
    <row r="122" customFormat="1" hidden="1" x14ac:dyDescent="0.25"/>
    <row r="123" customFormat="1" hidden="1" x14ac:dyDescent="0.25"/>
    <row r="124" customFormat="1" hidden="1" x14ac:dyDescent="0.25"/>
    <row r="125" customFormat="1" hidden="1" x14ac:dyDescent="0.25"/>
    <row r="126" customFormat="1" hidden="1" x14ac:dyDescent="0.25"/>
    <row r="127" customFormat="1" hidden="1" x14ac:dyDescent="0.25"/>
    <row r="128" customFormat="1" hidden="1" x14ac:dyDescent="0.25"/>
    <row r="144" spans="2:2" hidden="1" x14ac:dyDescent="0.25">
      <c r="B144" s="41"/>
    </row>
    <row r="145" spans="2:2" hidden="1" x14ac:dyDescent="0.25">
      <c r="B145" s="41"/>
    </row>
    <row r="146" spans="2:2" hidden="1" x14ac:dyDescent="0.25">
      <c r="B146" s="41"/>
    </row>
    <row r="147" spans="2:2" hidden="1" x14ac:dyDescent="0.25">
      <c r="B147" s="41"/>
    </row>
    <row r="148" spans="2:2" hidden="1" x14ac:dyDescent="0.25">
      <c r="B148" s="41"/>
    </row>
    <row r="149" spans="2:2" hidden="1" x14ac:dyDescent="0.25">
      <c r="B149" s="41"/>
    </row>
    <row r="150" spans="2:2" hidden="1" x14ac:dyDescent="0.25">
      <c r="B150" s="41"/>
    </row>
    <row r="151" spans="2:2" hidden="1" x14ac:dyDescent="0.25">
      <c r="B151" s="41"/>
    </row>
    <row r="152" spans="2:2" hidden="1" x14ac:dyDescent="0.25">
      <c r="B152" s="41"/>
    </row>
    <row r="153" spans="2:2" hidden="1" x14ac:dyDescent="0.25">
      <c r="B153" s="41"/>
    </row>
    <row r="154" spans="2:2" hidden="1" x14ac:dyDescent="0.25">
      <c r="B154" s="41"/>
    </row>
    <row r="155" spans="2:2" hidden="1" x14ac:dyDescent="0.25">
      <c r="B155" s="41"/>
    </row>
    <row r="156" spans="2:2" hidden="1" x14ac:dyDescent="0.25">
      <c r="B156" s="41"/>
    </row>
    <row r="157" spans="2:2" hidden="1" x14ac:dyDescent="0.25">
      <c r="B157" s="41"/>
    </row>
    <row r="158" spans="2:2" hidden="1" x14ac:dyDescent="0.25">
      <c r="B158" s="41"/>
    </row>
    <row r="159" spans="2:2" hidden="1" x14ac:dyDescent="0.25">
      <c r="B159" s="41"/>
    </row>
    <row r="160" spans="2:2" hidden="1" x14ac:dyDescent="0.25">
      <c r="B160" s="41"/>
    </row>
    <row r="161" spans="2:2" hidden="1" x14ac:dyDescent="0.25">
      <c r="B161" s="41"/>
    </row>
    <row r="162" spans="2:2" hidden="1" x14ac:dyDescent="0.25">
      <c r="B162" s="41"/>
    </row>
    <row r="163" spans="2:2" hidden="1" x14ac:dyDescent="0.25">
      <c r="B163" s="41"/>
    </row>
    <row r="164" spans="2:2" hidden="1" x14ac:dyDescent="0.25">
      <c r="B164" s="41"/>
    </row>
    <row r="165" spans="2:2" hidden="1" x14ac:dyDescent="0.25">
      <c r="B165" s="41"/>
    </row>
    <row r="166" spans="2:2" hidden="1" x14ac:dyDescent="0.25">
      <c r="B166" s="41"/>
    </row>
    <row r="167" spans="2:2" hidden="1" x14ac:dyDescent="0.25">
      <c r="B167" s="41"/>
    </row>
    <row r="168" spans="2:2" hidden="1" x14ac:dyDescent="0.25">
      <c r="B168" s="41"/>
    </row>
    <row r="169" spans="2:2" hidden="1" x14ac:dyDescent="0.25">
      <c r="B169" s="41"/>
    </row>
    <row r="170" spans="2:2" hidden="1" x14ac:dyDescent="0.25">
      <c r="B170" s="41"/>
    </row>
    <row r="171" spans="2:2" hidden="1" x14ac:dyDescent="0.25">
      <c r="B171" s="41"/>
    </row>
    <row r="172" spans="2:2" hidden="1" x14ac:dyDescent="0.25">
      <c r="B172" s="41"/>
    </row>
    <row r="173" spans="2:2" hidden="1" x14ac:dyDescent="0.25">
      <c r="B173" s="41"/>
    </row>
    <row r="177" customFormat="1" hidden="1" x14ac:dyDescent="0.25"/>
    <row r="178" customFormat="1" hidden="1" x14ac:dyDescent="0.25"/>
    <row r="179" customFormat="1" hidden="1" x14ac:dyDescent="0.25"/>
    <row r="180" customFormat="1" hidden="1" x14ac:dyDescent="0.25"/>
    <row r="181" customFormat="1" hidden="1" x14ac:dyDescent="0.25"/>
    <row r="182" customFormat="1" hidden="1" x14ac:dyDescent="0.25"/>
    <row r="183" customFormat="1" hidden="1" x14ac:dyDescent="0.25"/>
    <row r="184" customFormat="1" hidden="1" x14ac:dyDescent="0.25"/>
    <row r="185" customFormat="1" hidden="1" x14ac:dyDescent="0.25"/>
    <row r="186" customFormat="1" hidden="1" x14ac:dyDescent="0.25"/>
    <row r="187" customFormat="1" hidden="1" x14ac:dyDescent="0.25"/>
    <row r="188" customFormat="1" hidden="1" x14ac:dyDescent="0.25"/>
    <row r="189" customFormat="1" hidden="1" x14ac:dyDescent="0.25"/>
    <row r="190" customFormat="1" hidden="1" x14ac:dyDescent="0.25"/>
    <row r="191" customFormat="1" hidden="1" x14ac:dyDescent="0.25"/>
    <row r="192" customFormat="1" hidden="1" x14ac:dyDescent="0.25"/>
    <row r="193" customFormat="1" hidden="1" x14ac:dyDescent="0.25"/>
    <row r="194" customFormat="1" hidden="1" x14ac:dyDescent="0.25"/>
    <row r="195" customFormat="1" hidden="1" x14ac:dyDescent="0.25"/>
    <row r="196" customFormat="1" hidden="1" x14ac:dyDescent="0.25"/>
    <row r="197" customFormat="1" hidden="1" x14ac:dyDescent="0.25"/>
    <row r="198" customFormat="1" hidden="1" x14ac:dyDescent="0.25"/>
    <row r="199" customFormat="1" hidden="1" x14ac:dyDescent="0.25"/>
    <row r="200" customFormat="1" hidden="1" x14ac:dyDescent="0.25"/>
    <row r="201" customFormat="1" hidden="1" x14ac:dyDescent="0.25"/>
    <row r="202" customFormat="1" hidden="1" x14ac:dyDescent="0.25"/>
    <row r="203" customFormat="1" hidden="1" x14ac:dyDescent="0.25"/>
    <row r="204" customFormat="1" hidden="1" x14ac:dyDescent="0.25"/>
    <row r="205" customFormat="1" hidden="1" x14ac:dyDescent="0.25"/>
    <row r="206" customFormat="1" hidden="1" x14ac:dyDescent="0.25"/>
    <row r="207" customFormat="1" hidden="1" x14ac:dyDescent="0.25"/>
    <row r="208" customFormat="1" hidden="1" x14ac:dyDescent="0.25"/>
    <row r="209" customFormat="1" hidden="1" x14ac:dyDescent="0.25"/>
    <row r="210" customFormat="1" hidden="1" x14ac:dyDescent="0.25"/>
    <row r="211" customFormat="1" hidden="1" x14ac:dyDescent="0.25"/>
    <row r="212" customFormat="1" hidden="1" x14ac:dyDescent="0.25"/>
    <row r="213" customFormat="1" hidden="1" x14ac:dyDescent="0.25"/>
    <row r="214" customFormat="1" hidden="1" x14ac:dyDescent="0.25"/>
    <row r="215" customFormat="1" hidden="1" x14ac:dyDescent="0.25"/>
    <row r="216" customFormat="1" hidden="1" x14ac:dyDescent="0.25"/>
    <row r="217" customFormat="1" hidden="1" x14ac:dyDescent="0.25"/>
    <row r="218" customFormat="1" hidden="1" x14ac:dyDescent="0.25"/>
    <row r="219" customFormat="1" hidden="1" x14ac:dyDescent="0.25"/>
    <row r="220" customFormat="1" hidden="1" x14ac:dyDescent="0.25"/>
    <row r="221" customFormat="1" hidden="1" x14ac:dyDescent="0.25"/>
    <row r="222" customFormat="1" hidden="1" x14ac:dyDescent="0.25"/>
    <row r="223" customFormat="1" hidden="1" x14ac:dyDescent="0.25"/>
    <row r="224" customFormat="1" hidden="1" x14ac:dyDescent="0.25"/>
    <row r="225" customFormat="1" hidden="1" x14ac:dyDescent="0.25"/>
    <row r="226" customFormat="1" hidden="1" x14ac:dyDescent="0.25"/>
    <row r="227" customFormat="1" hidden="1" x14ac:dyDescent="0.25"/>
  </sheetData>
  <sheetProtection algorithmName="SHA-512" hashValue="Ml5PZbOAheAh47Y6/0m1IWTQljPCg2fL8pO3mD697ekK6pvwbvj+pzAI+2p15rug8eqKiC6Ed0/HUlJNpGaLDA==" saltValue="k2JNzwVTFgxopErp3wd0XQ==" spinCount="100000" sheet="1" objects="1" scenarios="1"/>
  <mergeCells count="4">
    <mergeCell ref="B8:C8"/>
    <mergeCell ref="B9:C9"/>
    <mergeCell ref="J1:L1"/>
    <mergeCell ref="J22:L23"/>
  </mergeCells>
  <pageMargins left="0.70866141732283472" right="0.70866141732283472" top="0.74803149606299213" bottom="0.74803149606299213" header="0.31496062992125984" footer="0.31496062992125984"/>
  <pageSetup paperSize="9" scale="13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B1F98-066F-4413-987B-10D0D10DBD01}">
  <sheetPr>
    <pageSetUpPr fitToPage="1"/>
  </sheetPr>
  <dimension ref="A1:AO151"/>
  <sheetViews>
    <sheetView workbookViewId="0">
      <pane ySplit="2" topLeftCell="A96" activePane="bottomLeft" state="frozen"/>
      <selection pane="bottomLeft" activeCell="A121" sqref="A121"/>
    </sheetView>
  </sheetViews>
  <sheetFormatPr defaultColWidth="0" defaultRowHeight="13.2" zeroHeight="1" x14ac:dyDescent="0.25"/>
  <cols>
    <col min="1" max="1" width="8.44140625" style="3" customWidth="1"/>
    <col min="2" max="2" width="5.6640625" style="3" bestFit="1" customWidth="1"/>
    <col min="3" max="3" width="8.109375" style="3" customWidth="1"/>
    <col min="4" max="4" width="7.21875" style="3" bestFit="1" customWidth="1"/>
    <col min="5" max="5" width="5.5546875" style="3" customWidth="1"/>
    <col min="6" max="6" width="4.5546875" style="3" customWidth="1"/>
    <col min="7" max="7" width="5.5546875" style="3" customWidth="1"/>
    <col min="8" max="8" width="8.109375" style="3" customWidth="1"/>
    <col min="9" max="9" width="6.44140625" style="3" customWidth="1"/>
    <col min="10" max="10" width="3.33203125" style="3" bestFit="1" customWidth="1"/>
    <col min="11" max="11" width="5.5546875" style="8" bestFit="1" customWidth="1"/>
    <col min="12" max="12" width="8.88671875" style="6" customWidth="1"/>
    <col min="13" max="13" width="11.44140625" style="6" hidden="1" customWidth="1"/>
    <col min="14" max="14" width="10.44140625" style="6" hidden="1" customWidth="1"/>
    <col min="15" max="15" width="13.6640625" style="3" hidden="1" customWidth="1"/>
    <col min="16" max="16" width="8.88671875" style="3" customWidth="1"/>
    <col min="17" max="17" width="5.6640625" style="3" bestFit="1" customWidth="1"/>
    <col min="18" max="18" width="7.88671875" style="3" customWidth="1"/>
    <col min="19" max="19" width="7.33203125" style="3" customWidth="1"/>
    <col min="20" max="20" width="6.88671875" style="3" customWidth="1"/>
    <col min="21" max="21" width="4" style="3" bestFit="1" customWidth="1"/>
    <col min="22" max="22" width="5.5546875" style="3" customWidth="1"/>
    <col min="23" max="23" width="8.21875" style="3" customWidth="1"/>
    <col min="24" max="24" width="6.109375" style="3" customWidth="1"/>
    <col min="25" max="25" width="3.33203125" style="3" bestFit="1" customWidth="1"/>
    <col min="26" max="26" width="6.109375" style="3" bestFit="1" customWidth="1"/>
    <col min="27" max="27" width="8.88671875" style="3" customWidth="1"/>
    <col min="28" max="28" width="2.6640625" style="3" customWidth="1"/>
    <col min="29" max="29" width="9.77734375" style="3" hidden="1"/>
    <col min="30" max="30" width="10.5546875" style="3" hidden="1"/>
    <col min="31" max="31" width="11.6640625" style="3" hidden="1"/>
    <col min="32" max="33" width="9.6640625" style="3" hidden="1"/>
    <col min="34" max="34" width="7" style="3" hidden="1"/>
    <col min="35" max="35" width="7.109375" style="3" hidden="1"/>
    <col min="36" max="36" width="8.21875" style="3" hidden="1"/>
    <col min="37" max="37" width="8.88671875" style="3" hidden="1"/>
    <col min="38" max="38" width="7.21875" style="3" hidden="1"/>
    <col min="39" max="39" width="10.33203125" style="3" hidden="1"/>
    <col min="40" max="40" width="8.88671875" style="3" hidden="1"/>
    <col min="41" max="41" width="10.33203125" style="3" hidden="1"/>
    <col min="42" max="16384" width="8.88671875" style="3" hidden="1"/>
  </cols>
  <sheetData>
    <row r="1" spans="1:39" x14ac:dyDescent="0.25">
      <c r="A1" s="106" t="s">
        <v>13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78" t="s">
        <v>17</v>
      </c>
      <c r="N1" s="79" t="s">
        <v>20</v>
      </c>
      <c r="O1" s="78" t="s">
        <v>18</v>
      </c>
      <c r="P1" s="107" t="s">
        <v>14</v>
      </c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C1" s="63"/>
      <c r="AD1" s="55" t="s">
        <v>28</v>
      </c>
      <c r="AE1" s="55" t="s">
        <v>46</v>
      </c>
      <c r="AF1" s="55" t="s">
        <v>38</v>
      </c>
      <c r="AG1" s="55" t="s">
        <v>44</v>
      </c>
      <c r="AH1" s="55"/>
      <c r="AI1" s="55"/>
      <c r="AJ1" s="55" t="s">
        <v>31</v>
      </c>
      <c r="AK1" s="55" t="s">
        <v>40</v>
      </c>
      <c r="AL1" s="54" t="s">
        <v>37</v>
      </c>
      <c r="AM1" s="54" t="s">
        <v>45</v>
      </c>
    </row>
    <row r="2" spans="1:39" s="6" customFormat="1" x14ac:dyDescent="0.25">
      <c r="A2" s="80" t="s">
        <v>0</v>
      </c>
      <c r="B2" s="80" t="s">
        <v>19</v>
      </c>
      <c r="C2" s="80" t="s">
        <v>1</v>
      </c>
      <c r="D2" s="80" t="s">
        <v>2</v>
      </c>
      <c r="E2" s="80" t="s">
        <v>3</v>
      </c>
      <c r="F2" s="80" t="s">
        <v>4</v>
      </c>
      <c r="G2" s="80" t="s">
        <v>5</v>
      </c>
      <c r="H2" s="80" t="s">
        <v>6</v>
      </c>
      <c r="I2" s="80" t="s">
        <v>7</v>
      </c>
      <c r="J2" s="80" t="s">
        <v>8</v>
      </c>
      <c r="K2" s="80" t="s">
        <v>9</v>
      </c>
      <c r="L2" s="80" t="s">
        <v>10</v>
      </c>
      <c r="M2" s="81">
        <f>Arrear!B3</f>
        <v>15960</v>
      </c>
      <c r="N2" s="82">
        <f>SUM(N3:N143)</f>
        <v>938712</v>
      </c>
      <c r="O2" s="81">
        <v>4800</v>
      </c>
      <c r="P2" s="80" t="s">
        <v>0</v>
      </c>
      <c r="Q2" s="80" t="s">
        <v>19</v>
      </c>
      <c r="R2" s="80" t="s">
        <v>1</v>
      </c>
      <c r="S2" s="80" t="s">
        <v>2</v>
      </c>
      <c r="T2" s="80" t="s">
        <v>3</v>
      </c>
      <c r="U2" s="80" t="s">
        <v>4</v>
      </c>
      <c r="V2" s="80" t="s">
        <v>5</v>
      </c>
      <c r="W2" s="80" t="s">
        <v>6</v>
      </c>
      <c r="X2" s="80" t="s">
        <v>7</v>
      </c>
      <c r="Y2" s="80" t="s">
        <v>8</v>
      </c>
      <c r="Z2" s="80" t="s">
        <v>11</v>
      </c>
      <c r="AA2" s="80" t="s">
        <v>10</v>
      </c>
      <c r="AB2" s="66"/>
      <c r="AC2" s="64"/>
      <c r="AD2" s="55"/>
      <c r="AE2" s="55"/>
      <c r="AF2" s="55"/>
      <c r="AG2" s="55"/>
      <c r="AH2" s="4" t="s">
        <v>23</v>
      </c>
      <c r="AI2" s="4" t="s">
        <v>24</v>
      </c>
      <c r="AJ2" s="55"/>
      <c r="AK2" s="55"/>
      <c r="AL2" s="55"/>
      <c r="AM2" s="55" t="str">
        <f>Arrear!C6&amp;Arrear!C7&amp;Arrear!C3</f>
        <v>YN</v>
      </c>
    </row>
    <row r="3" spans="1:39" s="70" customFormat="1" ht="15" customHeight="1" x14ac:dyDescent="0.25">
      <c r="A3" s="83">
        <v>39539</v>
      </c>
      <c r="B3" s="84">
        <v>0.02</v>
      </c>
      <c r="C3" s="85">
        <f>AM3</f>
        <v>15960</v>
      </c>
      <c r="D3" s="86">
        <f t="shared" ref="D3:D34" si="0">ROUND(C3*B3,0)</f>
        <v>319</v>
      </c>
      <c r="E3" s="86">
        <f t="shared" ref="E3:E34" si="1">C3*0.15</f>
        <v>2394</v>
      </c>
      <c r="F3" s="86">
        <f t="shared" ref="F3:F14" si="2">IF(C3=0,0,100)</f>
        <v>100</v>
      </c>
      <c r="G3" s="86"/>
      <c r="H3" s="86">
        <f>SUM(C3:F3)</f>
        <v>18773</v>
      </c>
      <c r="I3" s="87">
        <f t="shared" ref="I3:I34" si="3">IF(H3&gt;40000,200,IF(H3&gt;25000,150,IF(H3&gt;15000,130,IF(H3&gt;9000,110,IF(H3&gt;8000,90,IF(H3&gt;7000,50,IF(H3&gt;6000,45,IF(H3&gt;5000,40,0))))))))</f>
        <v>130</v>
      </c>
      <c r="J3" s="86"/>
      <c r="K3" s="86"/>
      <c r="L3" s="88">
        <f t="shared" ref="L3:L66" si="4">(H3-(I3+J3+K3))</f>
        <v>18643</v>
      </c>
      <c r="M3" s="88">
        <v>6000</v>
      </c>
      <c r="N3" s="88">
        <f>S3-D3</f>
        <v>1596</v>
      </c>
      <c r="O3" s="85"/>
      <c r="P3" s="83">
        <v>39539</v>
      </c>
      <c r="Q3" s="84">
        <v>0.12</v>
      </c>
      <c r="R3" s="86">
        <f t="shared" ref="R3:R34" si="5">C3</f>
        <v>15960</v>
      </c>
      <c r="S3" s="86">
        <f t="shared" ref="S3:S34" si="6">ROUND(R3*Q3,0)</f>
        <v>1915</v>
      </c>
      <c r="T3" s="86">
        <f>E3</f>
        <v>2394</v>
      </c>
      <c r="U3" s="86">
        <f t="shared" ref="U3:U14" si="7">IF(R3=0,0,300)</f>
        <v>300</v>
      </c>
      <c r="V3" s="86"/>
      <c r="W3" s="86">
        <f t="shared" ref="W3:W34" si="8">SUM(R3:U3)</f>
        <v>20569</v>
      </c>
      <c r="X3" s="87">
        <f t="shared" ref="X3:X34" si="9">IF(W3&gt;40000,200,IF(W3&gt;25000,150,IF(W3&gt;15000,130,IF(W3&gt;9000,110,IF(W3&gt;8000,90,IF(W3&gt;7000,50,IF(W3&gt;6000,45,IF(W3&gt;5000,40,0))))))))</f>
        <v>130</v>
      </c>
      <c r="Y3" s="86"/>
      <c r="Z3" s="86"/>
      <c r="AA3" s="88">
        <f t="shared" ref="AA3:AA34" si="10">(W3-SUM(X3:Z3))</f>
        <v>20439</v>
      </c>
      <c r="AB3" s="67"/>
      <c r="AC3" s="68" t="str">
        <f t="shared" ref="AC3:AC34" si="11">TEXT(A3,"mmm-yyy")</f>
        <v>Apr-2008</v>
      </c>
      <c r="AD3" s="56">
        <f>M2</f>
        <v>15960</v>
      </c>
      <c r="AE3" s="56">
        <f>IF(Arrear!$C$7="Y",AF3,IF(Arrear!$C$6="Y",AF3,0))</f>
        <v>15960</v>
      </c>
      <c r="AF3" s="56">
        <f>M2</f>
        <v>15960</v>
      </c>
      <c r="AG3" s="56">
        <f>AE3</f>
        <v>15960</v>
      </c>
      <c r="AH3" s="58">
        <f t="shared" ref="AH3:AH5" si="12">AF3+IF(EOMONTH($P$6,-7)+1&gt;=$O$7,(IF(MOD(AF3*0.03,10)&gt;=1,AF3*0.03-MOD(AF3*0.03,10)+10,AF3*0.03-MOD(AF3*0.03,10))),0)</f>
        <v>16440</v>
      </c>
      <c r="AI3" s="58">
        <f>AH3+IF(MOD(AH3*0.03,10)&gt;=1,AH3*0.03-MOD(AH3*0.03,10)+10,AH3*0.03-MOD(AH3*0.03,10))</f>
        <v>16940</v>
      </c>
      <c r="AJ3" s="69">
        <f t="shared" ref="AJ3:AJ17" si="13">IF(TEXT($O$7,"mmm-yyy")=AC3,$M$2,AJ2)</f>
        <v>0</v>
      </c>
      <c r="AK3" s="59">
        <f t="shared" ref="AK3:AK66" si="14">IF(TEXT($O$7,"mmm-yyy")=AC3,(AJ3-(ROUND(AJ3/(DAY(EOMONTH(A3,0)))*(DAY($O$7)-1),0))),IF(AC2=TEXT($O$7,"mmm-yyy"),AJ3,IF(AK2=0,AJ3,IF(TEXT(A3,"mmm")="Jul",AL2,AK2))))</f>
        <v>0</v>
      </c>
      <c r="AL3" s="69"/>
      <c r="AM3" s="69">
        <f>IF($AM$2="YY",AE3,IF($AM$2="YN",AF3,IF($AM$2="NY",AF3,AK3)))</f>
        <v>15960</v>
      </c>
    </row>
    <row r="4" spans="1:39" s="70" customFormat="1" ht="15" customHeight="1" x14ac:dyDescent="0.25">
      <c r="A4" s="83">
        <v>39569</v>
      </c>
      <c r="B4" s="84">
        <v>0.02</v>
      </c>
      <c r="C4" s="85">
        <f t="shared" ref="C4:C67" si="15">AM4</f>
        <v>15960</v>
      </c>
      <c r="D4" s="86">
        <f t="shared" si="0"/>
        <v>319</v>
      </c>
      <c r="E4" s="86">
        <f t="shared" si="1"/>
        <v>2394</v>
      </c>
      <c r="F4" s="86">
        <f t="shared" si="2"/>
        <v>100</v>
      </c>
      <c r="G4" s="86"/>
      <c r="H4" s="86">
        <f t="shared" ref="H4:H67" si="16">SUM(C4:F4)</f>
        <v>18773</v>
      </c>
      <c r="I4" s="87">
        <f t="shared" si="3"/>
        <v>130</v>
      </c>
      <c r="J4" s="86"/>
      <c r="K4" s="86"/>
      <c r="L4" s="88">
        <f t="shared" si="4"/>
        <v>18643</v>
      </c>
      <c r="M4" s="88">
        <v>6000</v>
      </c>
      <c r="N4" s="88">
        <f t="shared" ref="N4:N67" si="17">S4-D4</f>
        <v>1596</v>
      </c>
      <c r="O4" s="79" t="s">
        <v>21</v>
      </c>
      <c r="P4" s="83">
        <v>39569</v>
      </c>
      <c r="Q4" s="84">
        <v>0.12</v>
      </c>
      <c r="R4" s="86">
        <f t="shared" si="5"/>
        <v>15960</v>
      </c>
      <c r="S4" s="86">
        <f t="shared" si="6"/>
        <v>1915</v>
      </c>
      <c r="T4" s="86">
        <f t="shared" ref="T4:T14" si="18">E4</f>
        <v>2394</v>
      </c>
      <c r="U4" s="86">
        <f t="shared" si="7"/>
        <v>300</v>
      </c>
      <c r="V4" s="86"/>
      <c r="W4" s="86">
        <f t="shared" si="8"/>
        <v>20569</v>
      </c>
      <c r="X4" s="87">
        <f t="shared" si="9"/>
        <v>130</v>
      </c>
      <c r="Y4" s="86"/>
      <c r="Z4" s="86"/>
      <c r="AA4" s="88">
        <f t="shared" si="10"/>
        <v>20439</v>
      </c>
      <c r="AB4" s="67"/>
      <c r="AC4" s="68" t="str">
        <f t="shared" si="11"/>
        <v>May-2008</v>
      </c>
      <c r="AD4" s="56">
        <f>AD3</f>
        <v>15960</v>
      </c>
      <c r="AE4" s="56">
        <f>IF(Arrear!$C$7="Y",AF4,IF(Arrear!$C$6="Y",AF4,0))</f>
        <v>15960</v>
      </c>
      <c r="AF4" s="58">
        <f t="shared" ref="AF4:AF35" si="19">IF(TEXT(A4,"mmm-yyy")=$O$19,$O$18,IF(EOMONTH($O$15,0)+1=A4,$O$17,IF(TEXT(A4,"mmm")&lt;&gt;"Jul",AF3,IF(TEXT(A4,"mmm")="Jul",AH3,AF3))))</f>
        <v>15960</v>
      </c>
      <c r="AG4" s="58">
        <f t="shared" ref="AG4:AG35" si="20">IF(TEXT(A4,"mmm-yyy")=$O$35,$O$34,IF(EOMONTH($O$31,0)+1=A4,$O$33,IF(TEXT(A4,"mmm")&lt;&gt;"Jul",AG3,IF(TEXT(A4,"mmm")="Jul",AH3,AG3))))</f>
        <v>15960</v>
      </c>
      <c r="AH4" s="58">
        <f t="shared" si="12"/>
        <v>16440</v>
      </c>
      <c r="AI4" s="58">
        <f t="shared" ref="AI4" si="21">AH4+IF(MOD(AH4*0.03,10)&gt;=1,AH4*0.03-MOD(AH4*0.03,10)+10,AH4*0.03-MOD(AH4*0.03,10))</f>
        <v>16940</v>
      </c>
      <c r="AJ4" s="69">
        <f t="shared" si="13"/>
        <v>0</v>
      </c>
      <c r="AK4" s="59">
        <f t="shared" si="14"/>
        <v>0</v>
      </c>
      <c r="AL4" s="58">
        <f t="shared" ref="AL4:AL68" si="22">AK4+IF(MOD(AK4*0.03,10)&gt;=1,AK4*0.03-MOD(AK4*0.03,10)+10,AK4*0.03-MOD(AK4*0.03,10))</f>
        <v>0</v>
      </c>
      <c r="AM4" s="69">
        <f t="shared" ref="AM4:AM67" si="23">IF($AM$2="YY",AE4,IF($AM$2="YN",AF4,IF($AM$2="NY",AF4,AK4)))</f>
        <v>15960</v>
      </c>
    </row>
    <row r="5" spans="1:39" s="70" customFormat="1" ht="15" customHeight="1" x14ac:dyDescent="0.25">
      <c r="A5" s="83">
        <v>39600</v>
      </c>
      <c r="B5" s="84">
        <v>0.06</v>
      </c>
      <c r="C5" s="85">
        <f t="shared" si="15"/>
        <v>15960</v>
      </c>
      <c r="D5" s="86">
        <f t="shared" si="0"/>
        <v>958</v>
      </c>
      <c r="E5" s="86">
        <f t="shared" si="1"/>
        <v>2394</v>
      </c>
      <c r="F5" s="86">
        <f t="shared" si="2"/>
        <v>100</v>
      </c>
      <c r="G5" s="86"/>
      <c r="H5" s="86">
        <f t="shared" si="16"/>
        <v>19412</v>
      </c>
      <c r="I5" s="87">
        <f t="shared" si="3"/>
        <v>130</v>
      </c>
      <c r="J5" s="86"/>
      <c r="K5" s="86"/>
      <c r="L5" s="88">
        <f t="shared" si="4"/>
        <v>19282</v>
      </c>
      <c r="M5" s="88">
        <v>6000</v>
      </c>
      <c r="N5" s="88">
        <f t="shared" si="17"/>
        <v>957</v>
      </c>
      <c r="O5" s="89">
        <v>0.25</v>
      </c>
      <c r="P5" s="83">
        <v>39600</v>
      </c>
      <c r="Q5" s="84">
        <v>0.12</v>
      </c>
      <c r="R5" s="86">
        <f t="shared" si="5"/>
        <v>15960</v>
      </c>
      <c r="S5" s="86">
        <f t="shared" si="6"/>
        <v>1915</v>
      </c>
      <c r="T5" s="86">
        <f t="shared" si="18"/>
        <v>2394</v>
      </c>
      <c r="U5" s="86">
        <f t="shared" si="7"/>
        <v>300</v>
      </c>
      <c r="V5" s="86"/>
      <c r="W5" s="86">
        <f t="shared" si="8"/>
        <v>20569</v>
      </c>
      <c r="X5" s="87">
        <f t="shared" si="9"/>
        <v>130</v>
      </c>
      <c r="Y5" s="86"/>
      <c r="Z5" s="86"/>
      <c r="AA5" s="88">
        <f t="shared" si="10"/>
        <v>20439</v>
      </c>
      <c r="AB5" s="67"/>
      <c r="AC5" s="68" t="str">
        <f t="shared" si="11"/>
        <v>Jun-2008</v>
      </c>
      <c r="AD5" s="56">
        <f>AD4</f>
        <v>15960</v>
      </c>
      <c r="AE5" s="56">
        <f>IF(Arrear!$C$7="Y",AF5,IF(Arrear!$C$6="Y",AF5,0))</f>
        <v>15960</v>
      </c>
      <c r="AF5" s="58">
        <f t="shared" si="19"/>
        <v>15960</v>
      </c>
      <c r="AG5" s="58">
        <f t="shared" si="20"/>
        <v>15960</v>
      </c>
      <c r="AH5" s="58">
        <f t="shared" si="12"/>
        <v>16440</v>
      </c>
      <c r="AI5" s="58">
        <f t="shared" ref="AI5" si="24">AH5+IF(MOD(AH5*0.03,10)&gt;=1,AH5*0.03-MOD(AH5*0.03,10)+10,AH5*0.03-MOD(AH5*0.03,10))</f>
        <v>16940</v>
      </c>
      <c r="AJ5" s="69">
        <f t="shared" si="13"/>
        <v>0</v>
      </c>
      <c r="AK5" s="59">
        <f t="shared" si="14"/>
        <v>0</v>
      </c>
      <c r="AL5" s="58">
        <f t="shared" si="22"/>
        <v>0</v>
      </c>
      <c r="AM5" s="69">
        <f t="shared" si="23"/>
        <v>15960</v>
      </c>
    </row>
    <row r="6" spans="1:39" s="70" customFormat="1" ht="15" customHeight="1" x14ac:dyDescent="0.25">
      <c r="A6" s="83">
        <v>39630</v>
      </c>
      <c r="B6" s="84">
        <v>0.06</v>
      </c>
      <c r="C6" s="85">
        <f t="shared" si="15"/>
        <v>16440</v>
      </c>
      <c r="D6" s="86">
        <f t="shared" si="0"/>
        <v>986</v>
      </c>
      <c r="E6" s="86">
        <f t="shared" si="1"/>
        <v>2466</v>
      </c>
      <c r="F6" s="86">
        <f t="shared" si="2"/>
        <v>100</v>
      </c>
      <c r="G6" s="86"/>
      <c r="H6" s="86">
        <f t="shared" si="16"/>
        <v>19992</v>
      </c>
      <c r="I6" s="87">
        <f t="shared" si="3"/>
        <v>130</v>
      </c>
      <c r="J6" s="86"/>
      <c r="K6" s="86"/>
      <c r="L6" s="88">
        <f t="shared" si="4"/>
        <v>19862</v>
      </c>
      <c r="M6" s="88">
        <v>6000</v>
      </c>
      <c r="N6" s="88">
        <f t="shared" si="17"/>
        <v>1644</v>
      </c>
      <c r="O6" s="90">
        <f>N2*O5</f>
        <v>234678</v>
      </c>
      <c r="P6" s="83">
        <v>39630</v>
      </c>
      <c r="Q6" s="84">
        <v>0.16</v>
      </c>
      <c r="R6" s="86">
        <f t="shared" si="5"/>
        <v>16440</v>
      </c>
      <c r="S6" s="87">
        <f t="shared" si="6"/>
        <v>2630</v>
      </c>
      <c r="T6" s="86">
        <f t="shared" si="18"/>
        <v>2466</v>
      </c>
      <c r="U6" s="86">
        <f t="shared" si="7"/>
        <v>300</v>
      </c>
      <c r="V6" s="86"/>
      <c r="W6" s="86">
        <f t="shared" si="8"/>
        <v>21836</v>
      </c>
      <c r="X6" s="87">
        <f t="shared" si="9"/>
        <v>130</v>
      </c>
      <c r="Y6" s="86"/>
      <c r="Z6" s="86"/>
      <c r="AA6" s="88">
        <f t="shared" si="10"/>
        <v>21706</v>
      </c>
      <c r="AB6" s="67"/>
      <c r="AC6" s="68" t="str">
        <f t="shared" si="11"/>
        <v>Jul-2008</v>
      </c>
      <c r="AD6" s="60">
        <f>AD3+IF(EOMONTH(P6,-7)+1&gt;=O7,(IF(MOD(AD3*0.03,10)&gt;=1,AD3*0.03-MOD(AD3*0.03,10)+10,AD3*0.03-MOD(AD3*0.03,10))),0)</f>
        <v>16440</v>
      </c>
      <c r="AE6" s="56">
        <f>IF(Arrear!$C$7="Y",AF6,IF(Arrear!$C$6="Y",AF6,0))</f>
        <v>16440</v>
      </c>
      <c r="AF6" s="58">
        <f t="shared" si="19"/>
        <v>16440</v>
      </c>
      <c r="AG6" s="58">
        <f t="shared" si="20"/>
        <v>16440</v>
      </c>
      <c r="AH6" s="58">
        <f t="shared" ref="AH6:AH35" si="25">AF6+IF(MOD(AF6*0.03,10)&gt;=1,AF6*0.03-MOD(AF6*0.03,10)+10,AF6*0.03-MOD(AF6*0.03,10))</f>
        <v>16940</v>
      </c>
      <c r="AI6" s="58">
        <f t="shared" ref="AI6" si="26">AH6+IF(MOD(AH6*0.03,10)&gt;=1,AH6*0.03-MOD(AH6*0.03,10)+10,AH6*0.03-MOD(AH6*0.03,10))</f>
        <v>17450</v>
      </c>
      <c r="AJ6" s="69">
        <f t="shared" si="13"/>
        <v>0</v>
      </c>
      <c r="AK6" s="59">
        <f>IF(TEXT($O$7,"mmm-yyy")=AC6,(AJ6-(ROUND(AJ6/(DAY(EOMONTH(A6,0)))*(DAY($O$7)-1),0))),IF(AC5=TEXT($O$7,"mmm-yyy"),AJ6,IF(AK5=0,AJ6,IF(AND(TEXT(A6,"mmm")="Jul",TEXT(A6,"yyy")=TEXT(Arrear!$B$2,"yyy")),AK5,AL5))))</f>
        <v>0</v>
      </c>
      <c r="AL6" s="58">
        <f t="shared" si="22"/>
        <v>0</v>
      </c>
      <c r="AM6" s="69">
        <f t="shared" si="23"/>
        <v>16440</v>
      </c>
    </row>
    <row r="7" spans="1:39" s="70" customFormat="1" ht="15" customHeight="1" x14ac:dyDescent="0.25">
      <c r="A7" s="83">
        <v>39661</v>
      </c>
      <c r="B7" s="84">
        <v>0.06</v>
      </c>
      <c r="C7" s="85">
        <f t="shared" si="15"/>
        <v>16440</v>
      </c>
      <c r="D7" s="86">
        <f t="shared" si="0"/>
        <v>986</v>
      </c>
      <c r="E7" s="86">
        <f t="shared" si="1"/>
        <v>2466</v>
      </c>
      <c r="F7" s="86">
        <f t="shared" si="2"/>
        <v>100</v>
      </c>
      <c r="G7" s="86"/>
      <c r="H7" s="86">
        <f t="shared" si="16"/>
        <v>19992</v>
      </c>
      <c r="I7" s="87">
        <f t="shared" si="3"/>
        <v>130</v>
      </c>
      <c r="J7" s="86"/>
      <c r="K7" s="86"/>
      <c r="L7" s="88">
        <f t="shared" si="4"/>
        <v>19862</v>
      </c>
      <c r="M7" s="88">
        <v>6000</v>
      </c>
      <c r="N7" s="88">
        <f t="shared" si="17"/>
        <v>1644</v>
      </c>
      <c r="O7" s="91">
        <f>Arrear!B2</f>
        <v>39366</v>
      </c>
      <c r="P7" s="83">
        <v>39661</v>
      </c>
      <c r="Q7" s="84">
        <v>0.16</v>
      </c>
      <c r="R7" s="86">
        <f t="shared" si="5"/>
        <v>16440</v>
      </c>
      <c r="S7" s="87">
        <f t="shared" si="6"/>
        <v>2630</v>
      </c>
      <c r="T7" s="86">
        <f t="shared" si="18"/>
        <v>2466</v>
      </c>
      <c r="U7" s="86">
        <f t="shared" si="7"/>
        <v>300</v>
      </c>
      <c r="V7" s="86"/>
      <c r="W7" s="86">
        <f t="shared" si="8"/>
        <v>21836</v>
      </c>
      <c r="X7" s="87">
        <f t="shared" si="9"/>
        <v>130</v>
      </c>
      <c r="Y7" s="86"/>
      <c r="Z7" s="86"/>
      <c r="AA7" s="88">
        <f t="shared" si="10"/>
        <v>21706</v>
      </c>
      <c r="AB7" s="67"/>
      <c r="AC7" s="68" t="str">
        <f t="shared" si="11"/>
        <v>Aug-2008</v>
      </c>
      <c r="AD7" s="57">
        <f t="shared" ref="AD7:AD17" si="27">AD6</f>
        <v>16440</v>
      </c>
      <c r="AE7" s="56">
        <f>IF(Arrear!$C$7="Y",AF7,IF(Arrear!$C$6="Y",AF7,0))</f>
        <v>16440</v>
      </c>
      <c r="AF7" s="58">
        <f t="shared" si="19"/>
        <v>16440</v>
      </c>
      <c r="AG7" s="58">
        <f t="shared" si="20"/>
        <v>16440</v>
      </c>
      <c r="AH7" s="58">
        <f t="shared" si="25"/>
        <v>16940</v>
      </c>
      <c r="AI7" s="58">
        <f t="shared" ref="AI7" si="28">AH7+IF(MOD(AH7*0.03,10)&gt;=1,AH7*0.03-MOD(AH7*0.03,10)+10,AH7*0.03-MOD(AH7*0.03,10))</f>
        <v>17450</v>
      </c>
      <c r="AJ7" s="69">
        <f t="shared" si="13"/>
        <v>0</v>
      </c>
      <c r="AK7" s="59">
        <f t="shared" si="14"/>
        <v>0</v>
      </c>
      <c r="AL7" s="58">
        <f t="shared" si="22"/>
        <v>0</v>
      </c>
      <c r="AM7" s="69">
        <f t="shared" si="23"/>
        <v>16440</v>
      </c>
    </row>
    <row r="8" spans="1:39" s="70" customFormat="1" ht="15" customHeight="1" x14ac:dyDescent="0.25">
      <c r="A8" s="83">
        <v>39692</v>
      </c>
      <c r="B8" s="84">
        <v>0.06</v>
      </c>
      <c r="C8" s="85">
        <f t="shared" si="15"/>
        <v>16440</v>
      </c>
      <c r="D8" s="86">
        <f t="shared" si="0"/>
        <v>986</v>
      </c>
      <c r="E8" s="86">
        <f t="shared" si="1"/>
        <v>2466</v>
      </c>
      <c r="F8" s="86">
        <f t="shared" si="2"/>
        <v>100</v>
      </c>
      <c r="G8" s="86"/>
      <c r="H8" s="86">
        <f t="shared" si="16"/>
        <v>19992</v>
      </c>
      <c r="I8" s="87">
        <f t="shared" si="3"/>
        <v>130</v>
      </c>
      <c r="J8" s="86"/>
      <c r="K8" s="86"/>
      <c r="L8" s="88">
        <f t="shared" si="4"/>
        <v>19862</v>
      </c>
      <c r="M8" s="88">
        <v>6000</v>
      </c>
      <c r="N8" s="88">
        <f t="shared" si="17"/>
        <v>1644</v>
      </c>
      <c r="O8" s="85" t="str">
        <f>TEXT(A6,"mmm")</f>
        <v>Jul</v>
      </c>
      <c r="P8" s="83">
        <v>39692</v>
      </c>
      <c r="Q8" s="84">
        <v>0.16</v>
      </c>
      <c r="R8" s="86">
        <f t="shared" si="5"/>
        <v>16440</v>
      </c>
      <c r="S8" s="87">
        <f t="shared" si="6"/>
        <v>2630</v>
      </c>
      <c r="T8" s="86">
        <f t="shared" si="18"/>
        <v>2466</v>
      </c>
      <c r="U8" s="86">
        <f t="shared" si="7"/>
        <v>300</v>
      </c>
      <c r="V8" s="86"/>
      <c r="W8" s="86">
        <f t="shared" si="8"/>
        <v>21836</v>
      </c>
      <c r="X8" s="87">
        <f t="shared" si="9"/>
        <v>130</v>
      </c>
      <c r="Y8" s="86"/>
      <c r="Z8" s="86"/>
      <c r="AA8" s="88">
        <f t="shared" si="10"/>
        <v>21706</v>
      </c>
      <c r="AB8" s="67"/>
      <c r="AC8" s="68" t="str">
        <f t="shared" si="11"/>
        <v>Sep-2008</v>
      </c>
      <c r="AD8" s="57">
        <f t="shared" si="27"/>
        <v>16440</v>
      </c>
      <c r="AE8" s="56">
        <f>IF(Arrear!$C$7="Y",AF8,IF(Arrear!$C$6="Y",AF8,0))</f>
        <v>16440</v>
      </c>
      <c r="AF8" s="58">
        <f t="shared" si="19"/>
        <v>16440</v>
      </c>
      <c r="AG8" s="58">
        <f t="shared" si="20"/>
        <v>16440</v>
      </c>
      <c r="AH8" s="58">
        <f t="shared" si="25"/>
        <v>16940</v>
      </c>
      <c r="AI8" s="58">
        <f t="shared" ref="AI8" si="29">AH8+IF(MOD(AH8*0.03,10)&gt;=1,AH8*0.03-MOD(AH8*0.03,10)+10,AH8*0.03-MOD(AH8*0.03,10))</f>
        <v>17450</v>
      </c>
      <c r="AJ8" s="69">
        <f t="shared" si="13"/>
        <v>0</v>
      </c>
      <c r="AK8" s="59">
        <f t="shared" si="14"/>
        <v>0</v>
      </c>
      <c r="AL8" s="58">
        <f t="shared" si="22"/>
        <v>0</v>
      </c>
      <c r="AM8" s="69">
        <f t="shared" si="23"/>
        <v>16440</v>
      </c>
    </row>
    <row r="9" spans="1:39" s="70" customFormat="1" ht="15" customHeight="1" x14ac:dyDescent="0.25">
      <c r="A9" s="83">
        <v>39722</v>
      </c>
      <c r="B9" s="84">
        <v>0.06</v>
      </c>
      <c r="C9" s="85">
        <f t="shared" si="15"/>
        <v>16440</v>
      </c>
      <c r="D9" s="86">
        <f t="shared" si="0"/>
        <v>986</v>
      </c>
      <c r="E9" s="86">
        <f t="shared" si="1"/>
        <v>2466</v>
      </c>
      <c r="F9" s="86">
        <f t="shared" si="2"/>
        <v>100</v>
      </c>
      <c r="G9" s="86"/>
      <c r="H9" s="86">
        <f t="shared" si="16"/>
        <v>19992</v>
      </c>
      <c r="I9" s="87">
        <f t="shared" si="3"/>
        <v>130</v>
      </c>
      <c r="J9" s="86"/>
      <c r="K9" s="86"/>
      <c r="L9" s="88">
        <f t="shared" si="4"/>
        <v>19862</v>
      </c>
      <c r="M9" s="88">
        <v>6225</v>
      </c>
      <c r="N9" s="88">
        <f t="shared" si="17"/>
        <v>1644</v>
      </c>
      <c r="O9" s="92" t="s">
        <v>22</v>
      </c>
      <c r="P9" s="83">
        <v>39722</v>
      </c>
      <c r="Q9" s="84">
        <v>0.16</v>
      </c>
      <c r="R9" s="86">
        <f t="shared" si="5"/>
        <v>16440</v>
      </c>
      <c r="S9" s="87">
        <f t="shared" si="6"/>
        <v>2630</v>
      </c>
      <c r="T9" s="86">
        <f t="shared" si="18"/>
        <v>2466</v>
      </c>
      <c r="U9" s="86">
        <f t="shared" si="7"/>
        <v>300</v>
      </c>
      <c r="V9" s="86"/>
      <c r="W9" s="86">
        <f t="shared" si="8"/>
        <v>21836</v>
      </c>
      <c r="X9" s="87">
        <f t="shared" si="9"/>
        <v>130</v>
      </c>
      <c r="Y9" s="86"/>
      <c r="Z9" s="86"/>
      <c r="AA9" s="88">
        <f t="shared" si="10"/>
        <v>21706</v>
      </c>
      <c r="AB9" s="67"/>
      <c r="AC9" s="68" t="str">
        <f t="shared" si="11"/>
        <v>Oct-2008</v>
      </c>
      <c r="AD9" s="57">
        <f t="shared" si="27"/>
        <v>16440</v>
      </c>
      <c r="AE9" s="56">
        <f>IF(Arrear!$C$7="Y",AF9,IF(Arrear!$C$6="Y",AF9,0))</f>
        <v>16440</v>
      </c>
      <c r="AF9" s="58">
        <f t="shared" si="19"/>
        <v>16440</v>
      </c>
      <c r="AG9" s="58">
        <f t="shared" si="20"/>
        <v>16440</v>
      </c>
      <c r="AH9" s="58">
        <f t="shared" si="25"/>
        <v>16940</v>
      </c>
      <c r="AI9" s="58">
        <f t="shared" ref="AI9" si="30">AH9+IF(MOD(AH9*0.03,10)&gt;=1,AH9*0.03-MOD(AH9*0.03,10)+10,AH9*0.03-MOD(AH9*0.03,10))</f>
        <v>17450</v>
      </c>
      <c r="AJ9" s="69">
        <f t="shared" si="13"/>
        <v>0</v>
      </c>
      <c r="AK9" s="59">
        <f t="shared" si="14"/>
        <v>0</v>
      </c>
      <c r="AL9" s="58">
        <f t="shared" si="22"/>
        <v>0</v>
      </c>
      <c r="AM9" s="69">
        <f t="shared" si="23"/>
        <v>16440</v>
      </c>
    </row>
    <row r="10" spans="1:39" s="70" customFormat="1" ht="15" customHeight="1" x14ac:dyDescent="0.25">
      <c r="A10" s="83">
        <v>39753</v>
      </c>
      <c r="B10" s="84">
        <v>0.09</v>
      </c>
      <c r="C10" s="85">
        <f t="shared" si="15"/>
        <v>16440</v>
      </c>
      <c r="D10" s="86">
        <f t="shared" si="0"/>
        <v>1480</v>
      </c>
      <c r="E10" s="86">
        <f t="shared" si="1"/>
        <v>2466</v>
      </c>
      <c r="F10" s="86">
        <f t="shared" si="2"/>
        <v>100</v>
      </c>
      <c r="G10" s="86"/>
      <c r="H10" s="86">
        <f t="shared" si="16"/>
        <v>20486</v>
      </c>
      <c r="I10" s="87">
        <f t="shared" si="3"/>
        <v>130</v>
      </c>
      <c r="J10" s="86"/>
      <c r="K10" s="86"/>
      <c r="L10" s="88">
        <f t="shared" si="4"/>
        <v>20356</v>
      </c>
      <c r="M10" s="88">
        <v>6225</v>
      </c>
      <c r="N10" s="88">
        <f t="shared" si="17"/>
        <v>1150</v>
      </c>
      <c r="O10" s="92" t="s">
        <v>20</v>
      </c>
      <c r="P10" s="83">
        <v>39753</v>
      </c>
      <c r="Q10" s="84">
        <v>0.16</v>
      </c>
      <c r="R10" s="86">
        <f t="shared" si="5"/>
        <v>16440</v>
      </c>
      <c r="S10" s="87">
        <f t="shared" si="6"/>
        <v>2630</v>
      </c>
      <c r="T10" s="86">
        <f t="shared" si="18"/>
        <v>2466</v>
      </c>
      <c r="U10" s="86">
        <f t="shared" si="7"/>
        <v>300</v>
      </c>
      <c r="V10" s="86"/>
      <c r="W10" s="86">
        <f t="shared" si="8"/>
        <v>21836</v>
      </c>
      <c r="X10" s="87">
        <f t="shared" si="9"/>
        <v>130</v>
      </c>
      <c r="Y10" s="86"/>
      <c r="Z10" s="86"/>
      <c r="AA10" s="88">
        <f t="shared" si="10"/>
        <v>21706</v>
      </c>
      <c r="AB10" s="67"/>
      <c r="AC10" s="68" t="str">
        <f t="shared" si="11"/>
        <v>Nov-2008</v>
      </c>
      <c r="AD10" s="57">
        <f t="shared" si="27"/>
        <v>16440</v>
      </c>
      <c r="AE10" s="56">
        <f>IF(Arrear!$C$7="Y",AF10,IF(Arrear!$C$6="Y",AF10,0))</f>
        <v>16440</v>
      </c>
      <c r="AF10" s="58">
        <f t="shared" si="19"/>
        <v>16440</v>
      </c>
      <c r="AG10" s="58">
        <f t="shared" si="20"/>
        <v>16440</v>
      </c>
      <c r="AH10" s="58">
        <f t="shared" si="25"/>
        <v>16940</v>
      </c>
      <c r="AI10" s="58">
        <f t="shared" ref="AI10" si="31">AH10+IF(MOD(AH10*0.03,10)&gt;=1,AH10*0.03-MOD(AH10*0.03,10)+10,AH10*0.03-MOD(AH10*0.03,10))</f>
        <v>17450</v>
      </c>
      <c r="AJ10" s="69">
        <f t="shared" si="13"/>
        <v>0</v>
      </c>
      <c r="AK10" s="59">
        <f t="shared" si="14"/>
        <v>0</v>
      </c>
      <c r="AL10" s="58">
        <f t="shared" si="22"/>
        <v>0</v>
      </c>
      <c r="AM10" s="69">
        <f t="shared" si="23"/>
        <v>16440</v>
      </c>
    </row>
    <row r="11" spans="1:39" s="70" customFormat="1" ht="15" customHeight="1" x14ac:dyDescent="0.25">
      <c r="A11" s="83">
        <v>39783</v>
      </c>
      <c r="B11" s="84">
        <v>0.09</v>
      </c>
      <c r="C11" s="85">
        <f t="shared" si="15"/>
        <v>16440</v>
      </c>
      <c r="D11" s="86">
        <f t="shared" si="0"/>
        <v>1480</v>
      </c>
      <c r="E11" s="86">
        <f t="shared" si="1"/>
        <v>2466</v>
      </c>
      <c r="F11" s="86">
        <f t="shared" si="2"/>
        <v>100</v>
      </c>
      <c r="G11" s="86"/>
      <c r="H11" s="86">
        <f t="shared" si="16"/>
        <v>20486</v>
      </c>
      <c r="I11" s="87">
        <f t="shared" si="3"/>
        <v>130</v>
      </c>
      <c r="J11" s="86"/>
      <c r="K11" s="86"/>
      <c r="L11" s="88">
        <f t="shared" si="4"/>
        <v>20356</v>
      </c>
      <c r="M11" s="88">
        <v>6225</v>
      </c>
      <c r="N11" s="88">
        <f t="shared" si="17"/>
        <v>1150</v>
      </c>
      <c r="O11" s="93">
        <f>SUM(X:X)-SUM(I:I)</f>
        <v>1920</v>
      </c>
      <c r="P11" s="83">
        <v>39783</v>
      </c>
      <c r="Q11" s="84">
        <v>0.16</v>
      </c>
      <c r="R11" s="86">
        <f t="shared" si="5"/>
        <v>16440</v>
      </c>
      <c r="S11" s="87">
        <f t="shared" si="6"/>
        <v>2630</v>
      </c>
      <c r="T11" s="86">
        <f t="shared" si="18"/>
        <v>2466</v>
      </c>
      <c r="U11" s="86">
        <f t="shared" si="7"/>
        <v>300</v>
      </c>
      <c r="V11" s="86"/>
      <c r="W11" s="86">
        <f t="shared" si="8"/>
        <v>21836</v>
      </c>
      <c r="X11" s="87">
        <f t="shared" si="9"/>
        <v>130</v>
      </c>
      <c r="Y11" s="86"/>
      <c r="Z11" s="86"/>
      <c r="AA11" s="88">
        <f t="shared" si="10"/>
        <v>21706</v>
      </c>
      <c r="AB11" s="67"/>
      <c r="AC11" s="68" t="str">
        <f t="shared" si="11"/>
        <v>Dec-2008</v>
      </c>
      <c r="AD11" s="57">
        <f t="shared" si="27"/>
        <v>16440</v>
      </c>
      <c r="AE11" s="56">
        <f>IF(Arrear!$C$7="Y",AF11,IF(Arrear!$C$6="Y",AF11,0))</f>
        <v>16440</v>
      </c>
      <c r="AF11" s="58">
        <f t="shared" si="19"/>
        <v>16440</v>
      </c>
      <c r="AG11" s="58">
        <f t="shared" si="20"/>
        <v>16440</v>
      </c>
      <c r="AH11" s="58">
        <f t="shared" si="25"/>
        <v>16940</v>
      </c>
      <c r="AI11" s="58">
        <f t="shared" ref="AI11" si="32">AH11+IF(MOD(AH11*0.03,10)&gt;=1,AH11*0.03-MOD(AH11*0.03,10)+10,AH11*0.03-MOD(AH11*0.03,10))</f>
        <v>17450</v>
      </c>
      <c r="AJ11" s="69">
        <f t="shared" si="13"/>
        <v>0</v>
      </c>
      <c r="AK11" s="59">
        <f t="shared" si="14"/>
        <v>0</v>
      </c>
      <c r="AL11" s="58">
        <f t="shared" si="22"/>
        <v>0</v>
      </c>
      <c r="AM11" s="69">
        <f t="shared" si="23"/>
        <v>16440</v>
      </c>
    </row>
    <row r="12" spans="1:39" s="70" customFormat="1" ht="15" customHeight="1" x14ac:dyDescent="0.25">
      <c r="A12" s="83">
        <v>39814</v>
      </c>
      <c r="B12" s="84">
        <v>0.09</v>
      </c>
      <c r="C12" s="85">
        <f t="shared" si="15"/>
        <v>16440</v>
      </c>
      <c r="D12" s="86">
        <f t="shared" si="0"/>
        <v>1480</v>
      </c>
      <c r="E12" s="86">
        <f t="shared" si="1"/>
        <v>2466</v>
      </c>
      <c r="F12" s="86">
        <f t="shared" si="2"/>
        <v>100</v>
      </c>
      <c r="G12" s="86"/>
      <c r="H12" s="86">
        <f t="shared" si="16"/>
        <v>20486</v>
      </c>
      <c r="I12" s="87">
        <f t="shared" si="3"/>
        <v>130</v>
      </c>
      <c r="J12" s="86"/>
      <c r="K12" s="86"/>
      <c r="L12" s="88">
        <f t="shared" si="4"/>
        <v>20356</v>
      </c>
      <c r="M12" s="88">
        <v>6225</v>
      </c>
      <c r="N12" s="88">
        <f t="shared" si="17"/>
        <v>2137</v>
      </c>
      <c r="O12" s="85" t="str">
        <f>TEXT($O$7,"mmm-yyy")</f>
        <v>Oct-2007</v>
      </c>
      <c r="P12" s="83">
        <v>39814</v>
      </c>
      <c r="Q12" s="84">
        <v>0.22</v>
      </c>
      <c r="R12" s="86">
        <f t="shared" si="5"/>
        <v>16440</v>
      </c>
      <c r="S12" s="87">
        <f t="shared" si="6"/>
        <v>3617</v>
      </c>
      <c r="T12" s="86">
        <f t="shared" si="18"/>
        <v>2466</v>
      </c>
      <c r="U12" s="86">
        <f t="shared" si="7"/>
        <v>300</v>
      </c>
      <c r="V12" s="86"/>
      <c r="W12" s="86">
        <f t="shared" si="8"/>
        <v>22823</v>
      </c>
      <c r="X12" s="87">
        <f t="shared" si="9"/>
        <v>130</v>
      </c>
      <c r="Y12" s="86"/>
      <c r="Z12" s="86"/>
      <c r="AA12" s="88">
        <f t="shared" si="10"/>
        <v>22693</v>
      </c>
      <c r="AB12" s="67"/>
      <c r="AC12" s="68" t="str">
        <f t="shared" si="11"/>
        <v>Jan-2009</v>
      </c>
      <c r="AD12" s="57">
        <f t="shared" si="27"/>
        <v>16440</v>
      </c>
      <c r="AE12" s="56">
        <f>IF(Arrear!$C$7="Y",AF12,IF(Arrear!$C$6="Y",AF12,0))</f>
        <v>16440</v>
      </c>
      <c r="AF12" s="58">
        <f t="shared" si="19"/>
        <v>16440</v>
      </c>
      <c r="AG12" s="58">
        <f t="shared" si="20"/>
        <v>16440</v>
      </c>
      <c r="AH12" s="58">
        <f t="shared" si="25"/>
        <v>16940</v>
      </c>
      <c r="AI12" s="58">
        <f t="shared" ref="AI12" si="33">AH12+IF(MOD(AH12*0.03,10)&gt;=1,AH12*0.03-MOD(AH12*0.03,10)+10,AH12*0.03-MOD(AH12*0.03,10))</f>
        <v>17450</v>
      </c>
      <c r="AJ12" s="69">
        <f t="shared" si="13"/>
        <v>0</v>
      </c>
      <c r="AK12" s="59">
        <f t="shared" si="14"/>
        <v>0</v>
      </c>
      <c r="AL12" s="58">
        <f t="shared" si="22"/>
        <v>0</v>
      </c>
      <c r="AM12" s="69">
        <f t="shared" si="23"/>
        <v>16440</v>
      </c>
    </row>
    <row r="13" spans="1:39" s="70" customFormat="1" ht="15" customHeight="1" x14ac:dyDescent="0.25">
      <c r="A13" s="83">
        <v>39845</v>
      </c>
      <c r="B13" s="84">
        <v>0.09</v>
      </c>
      <c r="C13" s="85">
        <f t="shared" si="15"/>
        <v>16440</v>
      </c>
      <c r="D13" s="86">
        <f t="shared" si="0"/>
        <v>1480</v>
      </c>
      <c r="E13" s="86">
        <f t="shared" si="1"/>
        <v>2466</v>
      </c>
      <c r="F13" s="86">
        <f t="shared" si="2"/>
        <v>100</v>
      </c>
      <c r="G13" s="86"/>
      <c r="H13" s="86">
        <f t="shared" si="16"/>
        <v>20486</v>
      </c>
      <c r="I13" s="87">
        <f t="shared" si="3"/>
        <v>130</v>
      </c>
      <c r="J13" s="86"/>
      <c r="K13" s="86"/>
      <c r="L13" s="88">
        <f t="shared" si="4"/>
        <v>20356</v>
      </c>
      <c r="M13" s="88">
        <v>6225</v>
      </c>
      <c r="N13" s="88">
        <f t="shared" si="17"/>
        <v>2137</v>
      </c>
      <c r="O13" s="108" t="s">
        <v>42</v>
      </c>
      <c r="P13" s="83">
        <v>39845</v>
      </c>
      <c r="Q13" s="84">
        <f>Q12</f>
        <v>0.22</v>
      </c>
      <c r="R13" s="86">
        <f t="shared" si="5"/>
        <v>16440</v>
      </c>
      <c r="S13" s="87">
        <f t="shared" si="6"/>
        <v>3617</v>
      </c>
      <c r="T13" s="86">
        <f t="shared" si="18"/>
        <v>2466</v>
      </c>
      <c r="U13" s="86">
        <f t="shared" si="7"/>
        <v>300</v>
      </c>
      <c r="V13" s="86"/>
      <c r="W13" s="86">
        <f t="shared" si="8"/>
        <v>22823</v>
      </c>
      <c r="X13" s="87">
        <f t="shared" si="9"/>
        <v>130</v>
      </c>
      <c r="Y13" s="86"/>
      <c r="Z13" s="86"/>
      <c r="AA13" s="88">
        <f t="shared" si="10"/>
        <v>22693</v>
      </c>
      <c r="AB13" s="67"/>
      <c r="AC13" s="68" t="str">
        <f t="shared" si="11"/>
        <v>Feb-2009</v>
      </c>
      <c r="AD13" s="57">
        <f t="shared" si="27"/>
        <v>16440</v>
      </c>
      <c r="AE13" s="56">
        <f>IF(Arrear!$C$7="Y",AF13,IF(Arrear!$C$6="Y",AF13,0))</f>
        <v>16440</v>
      </c>
      <c r="AF13" s="58">
        <f t="shared" si="19"/>
        <v>16440</v>
      </c>
      <c r="AG13" s="58">
        <f t="shared" si="20"/>
        <v>16440</v>
      </c>
      <c r="AH13" s="58">
        <f t="shared" si="25"/>
        <v>16940</v>
      </c>
      <c r="AI13" s="58">
        <f t="shared" ref="AI13" si="34">AH13+IF(MOD(AH13*0.03,10)&gt;=1,AH13*0.03-MOD(AH13*0.03,10)+10,AH13*0.03-MOD(AH13*0.03,10))</f>
        <v>17450</v>
      </c>
      <c r="AJ13" s="69">
        <f t="shared" si="13"/>
        <v>0</v>
      </c>
      <c r="AK13" s="59">
        <f t="shared" si="14"/>
        <v>0</v>
      </c>
      <c r="AL13" s="58">
        <f t="shared" si="22"/>
        <v>0</v>
      </c>
      <c r="AM13" s="69">
        <f t="shared" si="23"/>
        <v>16440</v>
      </c>
    </row>
    <row r="14" spans="1:39" s="70" customFormat="1" ht="15" customHeight="1" x14ac:dyDescent="0.25">
      <c r="A14" s="83">
        <v>39873</v>
      </c>
      <c r="B14" s="84">
        <v>0.12</v>
      </c>
      <c r="C14" s="85">
        <f t="shared" si="15"/>
        <v>16440</v>
      </c>
      <c r="D14" s="86">
        <f t="shared" si="0"/>
        <v>1973</v>
      </c>
      <c r="E14" s="86">
        <f t="shared" si="1"/>
        <v>2466</v>
      </c>
      <c r="F14" s="86">
        <f t="shared" si="2"/>
        <v>100</v>
      </c>
      <c r="G14" s="86"/>
      <c r="H14" s="86">
        <f t="shared" si="16"/>
        <v>20979</v>
      </c>
      <c r="I14" s="87">
        <f t="shared" si="3"/>
        <v>130</v>
      </c>
      <c r="J14" s="86"/>
      <c r="K14" s="86"/>
      <c r="L14" s="88">
        <f t="shared" si="4"/>
        <v>20849</v>
      </c>
      <c r="M14" s="88">
        <v>6225</v>
      </c>
      <c r="N14" s="88">
        <f t="shared" si="17"/>
        <v>1644</v>
      </c>
      <c r="O14" s="108"/>
      <c r="P14" s="83">
        <v>39873</v>
      </c>
      <c r="Q14" s="84">
        <f>Q13</f>
        <v>0.22</v>
      </c>
      <c r="R14" s="86">
        <f t="shared" si="5"/>
        <v>16440</v>
      </c>
      <c r="S14" s="87">
        <f t="shared" si="6"/>
        <v>3617</v>
      </c>
      <c r="T14" s="86">
        <f t="shared" si="18"/>
        <v>2466</v>
      </c>
      <c r="U14" s="86">
        <f t="shared" si="7"/>
        <v>300</v>
      </c>
      <c r="V14" s="86"/>
      <c r="W14" s="86">
        <f t="shared" si="8"/>
        <v>22823</v>
      </c>
      <c r="X14" s="87">
        <f t="shared" si="9"/>
        <v>130</v>
      </c>
      <c r="Y14" s="86"/>
      <c r="Z14" s="86"/>
      <c r="AA14" s="88">
        <f t="shared" si="10"/>
        <v>22693</v>
      </c>
      <c r="AB14" s="67"/>
      <c r="AC14" s="68" t="str">
        <f t="shared" si="11"/>
        <v>Mar-2009</v>
      </c>
      <c r="AD14" s="57">
        <f t="shared" si="27"/>
        <v>16440</v>
      </c>
      <c r="AE14" s="56">
        <f>IF(Arrear!$C$7="Y",AF14,IF(Arrear!$C$6="Y",AF14,0))</f>
        <v>16440</v>
      </c>
      <c r="AF14" s="58">
        <f t="shared" si="19"/>
        <v>16440</v>
      </c>
      <c r="AG14" s="58">
        <f t="shared" si="20"/>
        <v>16440</v>
      </c>
      <c r="AH14" s="58">
        <f t="shared" si="25"/>
        <v>16940</v>
      </c>
      <c r="AI14" s="58">
        <f t="shared" ref="AI14" si="35">AH14+IF(MOD(AH14*0.03,10)&gt;=1,AH14*0.03-MOD(AH14*0.03,10)+10,AH14*0.03-MOD(AH14*0.03,10))</f>
        <v>17450</v>
      </c>
      <c r="AJ14" s="69">
        <f t="shared" si="13"/>
        <v>0</v>
      </c>
      <c r="AK14" s="59">
        <f t="shared" si="14"/>
        <v>0</v>
      </c>
      <c r="AL14" s="58">
        <f t="shared" si="22"/>
        <v>0</v>
      </c>
      <c r="AM14" s="69">
        <f t="shared" si="23"/>
        <v>16440</v>
      </c>
    </row>
    <row r="15" spans="1:39" s="70" customFormat="1" ht="15" customHeight="1" x14ac:dyDescent="0.25">
      <c r="A15" s="83">
        <v>39904</v>
      </c>
      <c r="B15" s="84">
        <v>0.16</v>
      </c>
      <c r="C15" s="85">
        <f t="shared" si="15"/>
        <v>16440</v>
      </c>
      <c r="D15" s="86">
        <f t="shared" si="0"/>
        <v>2630</v>
      </c>
      <c r="E15" s="86">
        <f t="shared" si="1"/>
        <v>2466</v>
      </c>
      <c r="F15" s="86">
        <f t="shared" ref="F15:F46" si="36">IF(C15=0,0,300)</f>
        <v>300</v>
      </c>
      <c r="G15" s="86"/>
      <c r="H15" s="86">
        <f t="shared" si="16"/>
        <v>21836</v>
      </c>
      <c r="I15" s="87">
        <f t="shared" si="3"/>
        <v>130</v>
      </c>
      <c r="J15" s="86"/>
      <c r="K15" s="86"/>
      <c r="L15" s="88">
        <f t="shared" si="4"/>
        <v>21706</v>
      </c>
      <c r="M15" s="88"/>
      <c r="N15" s="88">
        <f t="shared" si="17"/>
        <v>987</v>
      </c>
      <c r="O15" s="94">
        <f>IF(Arrear!C6="N",Arrear!B7,Arrear!B6)</f>
        <v>43019</v>
      </c>
      <c r="P15" s="83">
        <v>39904</v>
      </c>
      <c r="Q15" s="84">
        <f>Q14</f>
        <v>0.22</v>
      </c>
      <c r="R15" s="86">
        <f t="shared" si="5"/>
        <v>16440</v>
      </c>
      <c r="S15" s="87">
        <f t="shared" si="6"/>
        <v>3617</v>
      </c>
      <c r="T15" s="86">
        <f t="shared" ref="T15:T46" si="37">ROUND(R15*0.15,0)</f>
        <v>2466</v>
      </c>
      <c r="U15" s="86">
        <f>IF(R15=0,0,300)</f>
        <v>300</v>
      </c>
      <c r="V15" s="86"/>
      <c r="W15" s="86">
        <f t="shared" si="8"/>
        <v>22823</v>
      </c>
      <c r="X15" s="87">
        <f t="shared" si="9"/>
        <v>130</v>
      </c>
      <c r="Y15" s="86"/>
      <c r="Z15" s="86"/>
      <c r="AA15" s="88">
        <f t="shared" si="10"/>
        <v>22693</v>
      </c>
      <c r="AB15" s="67"/>
      <c r="AC15" s="68" t="str">
        <f t="shared" si="11"/>
        <v>Apr-2009</v>
      </c>
      <c r="AD15" s="59">
        <f t="shared" si="27"/>
        <v>16440</v>
      </c>
      <c r="AE15" s="56">
        <f>IF(Arrear!$C$7="Y",AF15,IF(Arrear!$C$6="Y",AF15,0))</f>
        <v>16440</v>
      </c>
      <c r="AF15" s="58">
        <f t="shared" si="19"/>
        <v>16440</v>
      </c>
      <c r="AG15" s="58">
        <f t="shared" si="20"/>
        <v>16440</v>
      </c>
      <c r="AH15" s="58">
        <f t="shared" si="25"/>
        <v>16940</v>
      </c>
      <c r="AI15" s="58">
        <f t="shared" ref="AI15" si="38">AH15+IF(MOD(AH15*0.03,10)&gt;=1,AH15*0.03-MOD(AH15*0.03,10)+10,AH15*0.03-MOD(AH15*0.03,10))</f>
        <v>17450</v>
      </c>
      <c r="AJ15" s="69">
        <f t="shared" si="13"/>
        <v>0</v>
      </c>
      <c r="AK15" s="59">
        <f t="shared" si="14"/>
        <v>0</v>
      </c>
      <c r="AL15" s="58">
        <f t="shared" si="22"/>
        <v>0</v>
      </c>
      <c r="AM15" s="69">
        <f t="shared" si="23"/>
        <v>16440</v>
      </c>
    </row>
    <row r="16" spans="1:39" s="70" customFormat="1" ht="15" customHeight="1" x14ac:dyDescent="0.25">
      <c r="A16" s="83">
        <v>39934</v>
      </c>
      <c r="B16" s="84">
        <v>0.16</v>
      </c>
      <c r="C16" s="85">
        <f t="shared" si="15"/>
        <v>16440</v>
      </c>
      <c r="D16" s="86">
        <f t="shared" si="0"/>
        <v>2630</v>
      </c>
      <c r="E16" s="86">
        <f t="shared" si="1"/>
        <v>2466</v>
      </c>
      <c r="F16" s="86">
        <f t="shared" si="36"/>
        <v>300</v>
      </c>
      <c r="G16" s="86"/>
      <c r="H16" s="86">
        <f t="shared" si="16"/>
        <v>21836</v>
      </c>
      <c r="I16" s="87">
        <f t="shared" si="3"/>
        <v>130</v>
      </c>
      <c r="J16" s="86"/>
      <c r="K16" s="86"/>
      <c r="L16" s="88">
        <f t="shared" si="4"/>
        <v>21706</v>
      </c>
      <c r="M16" s="88"/>
      <c r="N16" s="88">
        <f t="shared" si="17"/>
        <v>987</v>
      </c>
      <c r="O16" s="95">
        <f>VLOOKUP(O15,P:AD,15,TRUE)</f>
        <v>21490</v>
      </c>
      <c r="P16" s="83">
        <v>39934</v>
      </c>
      <c r="Q16" s="84">
        <f>Q15</f>
        <v>0.22</v>
      </c>
      <c r="R16" s="86">
        <f t="shared" si="5"/>
        <v>16440</v>
      </c>
      <c r="S16" s="87">
        <f t="shared" si="6"/>
        <v>3617</v>
      </c>
      <c r="T16" s="86">
        <f t="shared" si="37"/>
        <v>2466</v>
      </c>
      <c r="U16" s="86">
        <f t="shared" ref="U16:U79" si="39">IF(R16=0,0,300)</f>
        <v>300</v>
      </c>
      <c r="V16" s="86"/>
      <c r="W16" s="86">
        <f t="shared" si="8"/>
        <v>22823</v>
      </c>
      <c r="X16" s="87">
        <f t="shared" si="9"/>
        <v>130</v>
      </c>
      <c r="Y16" s="86"/>
      <c r="Z16" s="86"/>
      <c r="AA16" s="88">
        <f t="shared" si="10"/>
        <v>22693</v>
      </c>
      <c r="AB16" s="67"/>
      <c r="AC16" s="68" t="str">
        <f t="shared" si="11"/>
        <v>May-2009</v>
      </c>
      <c r="AD16" s="59">
        <f t="shared" si="27"/>
        <v>16440</v>
      </c>
      <c r="AE16" s="56">
        <f>IF(Arrear!$C$7="Y",AF16,IF(Arrear!$C$6="Y",AF16,0))</f>
        <v>16440</v>
      </c>
      <c r="AF16" s="58">
        <f t="shared" si="19"/>
        <v>16440</v>
      </c>
      <c r="AG16" s="58">
        <f t="shared" si="20"/>
        <v>16440</v>
      </c>
      <c r="AH16" s="58">
        <f t="shared" si="25"/>
        <v>16940</v>
      </c>
      <c r="AI16" s="58">
        <f t="shared" ref="AI16" si="40">AH16+IF(MOD(AH16*0.03,10)&gt;=1,AH16*0.03-MOD(AH16*0.03,10)+10,AH16*0.03-MOD(AH16*0.03,10))</f>
        <v>17450</v>
      </c>
      <c r="AJ16" s="69">
        <f t="shared" si="13"/>
        <v>0</v>
      </c>
      <c r="AK16" s="59">
        <f t="shared" si="14"/>
        <v>0</v>
      </c>
      <c r="AL16" s="58">
        <f t="shared" si="22"/>
        <v>0</v>
      </c>
      <c r="AM16" s="69">
        <f t="shared" si="23"/>
        <v>16440</v>
      </c>
    </row>
    <row r="17" spans="1:39" s="70" customFormat="1" ht="15" customHeight="1" x14ac:dyDescent="0.25">
      <c r="A17" s="83">
        <v>39965</v>
      </c>
      <c r="B17" s="84">
        <v>0.16</v>
      </c>
      <c r="C17" s="85">
        <f t="shared" si="15"/>
        <v>16440</v>
      </c>
      <c r="D17" s="86">
        <f t="shared" si="0"/>
        <v>2630</v>
      </c>
      <c r="E17" s="86">
        <f t="shared" si="1"/>
        <v>2466</v>
      </c>
      <c r="F17" s="86">
        <f t="shared" si="36"/>
        <v>300</v>
      </c>
      <c r="G17" s="86"/>
      <c r="H17" s="86">
        <f t="shared" si="16"/>
        <v>21836</v>
      </c>
      <c r="I17" s="87">
        <f t="shared" si="3"/>
        <v>130</v>
      </c>
      <c r="J17" s="86"/>
      <c r="K17" s="86"/>
      <c r="L17" s="88">
        <f t="shared" si="4"/>
        <v>21706</v>
      </c>
      <c r="M17" s="88"/>
      <c r="N17" s="88">
        <f t="shared" si="17"/>
        <v>987</v>
      </c>
      <c r="O17" s="95">
        <f>O16+IF(MOD(O16*0.03,10)&gt;=1,O16*0.03-MOD(O16*0.03,10)+10,O16*0.03-MOD(O16*0.03,10))</f>
        <v>22140</v>
      </c>
      <c r="P17" s="83">
        <v>39965</v>
      </c>
      <c r="Q17" s="84">
        <f>Q16</f>
        <v>0.22</v>
      </c>
      <c r="R17" s="86">
        <f t="shared" si="5"/>
        <v>16440</v>
      </c>
      <c r="S17" s="87">
        <f t="shared" si="6"/>
        <v>3617</v>
      </c>
      <c r="T17" s="86">
        <f t="shared" si="37"/>
        <v>2466</v>
      </c>
      <c r="U17" s="86">
        <f t="shared" si="39"/>
        <v>300</v>
      </c>
      <c r="V17" s="86"/>
      <c r="W17" s="86">
        <f t="shared" si="8"/>
        <v>22823</v>
      </c>
      <c r="X17" s="87">
        <f t="shared" si="9"/>
        <v>130</v>
      </c>
      <c r="Y17" s="86"/>
      <c r="Z17" s="86"/>
      <c r="AA17" s="88">
        <f t="shared" si="10"/>
        <v>22693</v>
      </c>
      <c r="AB17" s="67"/>
      <c r="AC17" s="68" t="str">
        <f t="shared" si="11"/>
        <v>Jun-2009</v>
      </c>
      <c r="AD17" s="59">
        <f t="shared" si="27"/>
        <v>16440</v>
      </c>
      <c r="AE17" s="56">
        <f>IF(Arrear!$C$7="Y",AF17,IF(Arrear!$C$6="Y",AF17,0))</f>
        <v>16440</v>
      </c>
      <c r="AF17" s="58">
        <f t="shared" si="19"/>
        <v>16440</v>
      </c>
      <c r="AG17" s="58">
        <f t="shared" si="20"/>
        <v>16440</v>
      </c>
      <c r="AH17" s="58">
        <f t="shared" si="25"/>
        <v>16940</v>
      </c>
      <c r="AI17" s="58">
        <f t="shared" ref="AI17" si="41">AH17+IF(MOD(AH17*0.03,10)&gt;=1,AH17*0.03-MOD(AH17*0.03,10)+10,AH17*0.03-MOD(AH17*0.03,10))</f>
        <v>17450</v>
      </c>
      <c r="AJ17" s="69">
        <f t="shared" si="13"/>
        <v>0</v>
      </c>
      <c r="AK17" s="59">
        <f t="shared" si="14"/>
        <v>0</v>
      </c>
      <c r="AL17" s="58">
        <f t="shared" si="22"/>
        <v>0</v>
      </c>
      <c r="AM17" s="69">
        <f t="shared" si="23"/>
        <v>16440</v>
      </c>
    </row>
    <row r="18" spans="1:39" s="70" customFormat="1" ht="15" customHeight="1" x14ac:dyDescent="0.25">
      <c r="A18" s="83">
        <v>39995</v>
      </c>
      <c r="B18" s="84">
        <v>0.16</v>
      </c>
      <c r="C18" s="85">
        <f t="shared" si="15"/>
        <v>16940</v>
      </c>
      <c r="D18" s="86">
        <f t="shared" si="0"/>
        <v>2710</v>
      </c>
      <c r="E18" s="86">
        <f t="shared" si="1"/>
        <v>2541</v>
      </c>
      <c r="F18" s="86">
        <f t="shared" si="36"/>
        <v>300</v>
      </c>
      <c r="G18" s="86"/>
      <c r="H18" s="86">
        <f t="shared" si="16"/>
        <v>22491</v>
      </c>
      <c r="I18" s="87">
        <f t="shared" si="3"/>
        <v>130</v>
      </c>
      <c r="J18" s="86"/>
      <c r="K18" s="86"/>
      <c r="L18" s="88">
        <f t="shared" si="4"/>
        <v>22361</v>
      </c>
      <c r="M18" s="88"/>
      <c r="N18" s="88">
        <f t="shared" si="17"/>
        <v>1864</v>
      </c>
      <c r="O18" s="96">
        <f>ROUND(O16/(O21+O22)*O22,0)+ROUND(O17/(O21+O22)*O21,0)</f>
        <v>21930</v>
      </c>
      <c r="P18" s="83">
        <v>39995</v>
      </c>
      <c r="Q18" s="84">
        <v>0.27</v>
      </c>
      <c r="R18" s="86">
        <f t="shared" si="5"/>
        <v>16940</v>
      </c>
      <c r="S18" s="87">
        <f t="shared" si="6"/>
        <v>4574</v>
      </c>
      <c r="T18" s="86">
        <f t="shared" si="37"/>
        <v>2541</v>
      </c>
      <c r="U18" s="86">
        <f t="shared" si="39"/>
        <v>300</v>
      </c>
      <c r="V18" s="86"/>
      <c r="W18" s="86">
        <f t="shared" si="8"/>
        <v>24355</v>
      </c>
      <c r="X18" s="87">
        <f t="shared" si="9"/>
        <v>130</v>
      </c>
      <c r="Y18" s="86"/>
      <c r="Z18" s="86"/>
      <c r="AA18" s="88">
        <f t="shared" si="10"/>
        <v>24225</v>
      </c>
      <c r="AB18" s="67"/>
      <c r="AC18" s="68" t="str">
        <f t="shared" si="11"/>
        <v>Jul-2009</v>
      </c>
      <c r="AD18" s="60">
        <f>AD6+IF(MOD(AD6*0.03,10)&gt;=1,AD6*0.03-MOD(AD6*0.03,10)+10,AD6*0.03-MOD(AD6*0.03,10))</f>
        <v>16940</v>
      </c>
      <c r="AE18" s="56">
        <f>IF(Arrear!$C$7="Y",AF18,IF(Arrear!$C$6="Y",AF18,0))</f>
        <v>16940</v>
      </c>
      <c r="AF18" s="58">
        <f t="shared" si="19"/>
        <v>16940</v>
      </c>
      <c r="AG18" s="58">
        <f t="shared" si="20"/>
        <v>16940</v>
      </c>
      <c r="AH18" s="58">
        <f t="shared" si="25"/>
        <v>17450</v>
      </c>
      <c r="AI18" s="58">
        <f t="shared" ref="AI18" si="42">AH18+IF(MOD(AH18*0.03,10)&gt;=1,AH18*0.03-MOD(AH18*0.03,10)+10,AH18*0.03-MOD(AH18*0.03,10))</f>
        <v>17980</v>
      </c>
      <c r="AJ18" s="69">
        <f>IF(TEXT($O$7,"mmm-yyy")=AC18,$M$2,AJ17+IF(MOD(AJ17*0.03,10)&gt;=1,AJ17*0.03-MOD(AJ17*0.03,10)+10,AJ17*0.03-MOD(AJ17*0.03,10)))</f>
        <v>0</v>
      </c>
      <c r="AK18" s="59">
        <f>IF(TEXT($O$7,"mmm-yyy")=AC18,(AJ18-(ROUND(AJ18/(DAY(EOMONTH(A18,0)))*(DAY($O$7)-1),0))),IF(AC17=TEXT($O$7,"mmm-yyy"),AJ18,IF(AK17=0,AJ18,IF(AND(TEXT(A18,"mmm")="Jul",TEXT(A18,"yyy")=TEXT(Arrear!$B$2,"yyy")),AK17,AL17))))</f>
        <v>0</v>
      </c>
      <c r="AL18" s="58">
        <f t="shared" si="22"/>
        <v>0</v>
      </c>
      <c r="AM18" s="69">
        <f t="shared" si="23"/>
        <v>16940</v>
      </c>
    </row>
    <row r="19" spans="1:39" s="70" customFormat="1" ht="15" customHeight="1" x14ac:dyDescent="0.25">
      <c r="A19" s="83">
        <v>40026</v>
      </c>
      <c r="B19" s="84">
        <v>0.16</v>
      </c>
      <c r="C19" s="85">
        <f t="shared" si="15"/>
        <v>16940</v>
      </c>
      <c r="D19" s="86">
        <f t="shared" si="0"/>
        <v>2710</v>
      </c>
      <c r="E19" s="86">
        <f t="shared" si="1"/>
        <v>2541</v>
      </c>
      <c r="F19" s="86">
        <f t="shared" si="36"/>
        <v>300</v>
      </c>
      <c r="G19" s="86"/>
      <c r="H19" s="86">
        <f t="shared" si="16"/>
        <v>22491</v>
      </c>
      <c r="I19" s="87">
        <f t="shared" si="3"/>
        <v>130</v>
      </c>
      <c r="J19" s="86"/>
      <c r="K19" s="86"/>
      <c r="L19" s="88">
        <f t="shared" si="4"/>
        <v>22361</v>
      </c>
      <c r="M19" s="88"/>
      <c r="N19" s="88">
        <f t="shared" si="17"/>
        <v>1864</v>
      </c>
      <c r="O19" s="85" t="str">
        <f>TEXT(O15,"mmm-yyy")</f>
        <v>Oct-2017</v>
      </c>
      <c r="P19" s="83">
        <v>40026</v>
      </c>
      <c r="Q19" s="84">
        <f>Q18</f>
        <v>0.27</v>
      </c>
      <c r="R19" s="86">
        <f t="shared" si="5"/>
        <v>16940</v>
      </c>
      <c r="S19" s="87">
        <f t="shared" si="6"/>
        <v>4574</v>
      </c>
      <c r="T19" s="86">
        <f t="shared" si="37"/>
        <v>2541</v>
      </c>
      <c r="U19" s="86">
        <f t="shared" si="39"/>
        <v>300</v>
      </c>
      <c r="V19" s="86"/>
      <c r="W19" s="86">
        <f t="shared" si="8"/>
        <v>24355</v>
      </c>
      <c r="X19" s="87">
        <f t="shared" si="9"/>
        <v>130</v>
      </c>
      <c r="Y19" s="86"/>
      <c r="Z19" s="86"/>
      <c r="AA19" s="88">
        <f t="shared" si="10"/>
        <v>24225</v>
      </c>
      <c r="AB19" s="67"/>
      <c r="AC19" s="68" t="str">
        <f t="shared" si="11"/>
        <v>Aug-2009</v>
      </c>
      <c r="AD19" s="59">
        <f t="shared" ref="AD19:AD29" si="43">AD18</f>
        <v>16940</v>
      </c>
      <c r="AE19" s="56">
        <f>IF(Arrear!$C$7="Y",AF19,IF(Arrear!$C$6="Y",AF19,0))</f>
        <v>16940</v>
      </c>
      <c r="AF19" s="58">
        <f t="shared" si="19"/>
        <v>16940</v>
      </c>
      <c r="AG19" s="58">
        <f t="shared" si="20"/>
        <v>16940</v>
      </c>
      <c r="AH19" s="58">
        <f t="shared" si="25"/>
        <v>17450</v>
      </c>
      <c r="AI19" s="58">
        <f t="shared" ref="AI19" si="44">AH19+IF(MOD(AH19*0.03,10)&gt;=1,AH19*0.03-MOD(AH19*0.03,10)+10,AH19*0.03-MOD(AH19*0.03,10))</f>
        <v>17980</v>
      </c>
      <c r="AJ19" s="69">
        <f t="shared" ref="AJ19:AJ29" si="45">IF(TEXT($O$7,"mmm-yyy")=AC19,$M$2,AJ18)</f>
        <v>0</v>
      </c>
      <c r="AK19" s="59">
        <f t="shared" si="14"/>
        <v>0</v>
      </c>
      <c r="AL19" s="58">
        <f t="shared" si="22"/>
        <v>0</v>
      </c>
      <c r="AM19" s="69">
        <f t="shared" si="23"/>
        <v>16940</v>
      </c>
    </row>
    <row r="20" spans="1:39" s="70" customFormat="1" ht="15" customHeight="1" x14ac:dyDescent="0.25">
      <c r="A20" s="83">
        <v>40057</v>
      </c>
      <c r="B20" s="84">
        <v>0.16</v>
      </c>
      <c r="C20" s="85">
        <f t="shared" si="15"/>
        <v>16940</v>
      </c>
      <c r="D20" s="86">
        <f t="shared" si="0"/>
        <v>2710</v>
      </c>
      <c r="E20" s="86">
        <f t="shared" si="1"/>
        <v>2541</v>
      </c>
      <c r="F20" s="86">
        <f t="shared" si="36"/>
        <v>300</v>
      </c>
      <c r="G20" s="86"/>
      <c r="H20" s="86">
        <f t="shared" si="16"/>
        <v>22491</v>
      </c>
      <c r="I20" s="87">
        <f t="shared" si="3"/>
        <v>130</v>
      </c>
      <c r="J20" s="86"/>
      <c r="K20" s="86"/>
      <c r="L20" s="88">
        <f t="shared" si="4"/>
        <v>22361</v>
      </c>
      <c r="M20" s="97"/>
      <c r="N20" s="88">
        <f t="shared" si="17"/>
        <v>1864</v>
      </c>
      <c r="O20" s="98">
        <f>EOMONTH(O15,0)</f>
        <v>43039</v>
      </c>
      <c r="P20" s="83">
        <v>40057</v>
      </c>
      <c r="Q20" s="84">
        <f>Q19</f>
        <v>0.27</v>
      </c>
      <c r="R20" s="86">
        <f t="shared" si="5"/>
        <v>16940</v>
      </c>
      <c r="S20" s="87">
        <f t="shared" si="6"/>
        <v>4574</v>
      </c>
      <c r="T20" s="86">
        <f t="shared" si="37"/>
        <v>2541</v>
      </c>
      <c r="U20" s="86">
        <f t="shared" si="39"/>
        <v>300</v>
      </c>
      <c r="V20" s="86"/>
      <c r="W20" s="86">
        <f t="shared" si="8"/>
        <v>24355</v>
      </c>
      <c r="X20" s="87">
        <f t="shared" si="9"/>
        <v>130</v>
      </c>
      <c r="Y20" s="86"/>
      <c r="Z20" s="86"/>
      <c r="AA20" s="88">
        <f t="shared" si="10"/>
        <v>24225</v>
      </c>
      <c r="AB20" s="67"/>
      <c r="AC20" s="68" t="str">
        <f t="shared" si="11"/>
        <v>Sep-2009</v>
      </c>
      <c r="AD20" s="59">
        <f t="shared" si="43"/>
        <v>16940</v>
      </c>
      <c r="AE20" s="56">
        <f>IF(Arrear!$C$7="Y",AF20,IF(Arrear!$C$6="Y",AF20,0))</f>
        <v>16940</v>
      </c>
      <c r="AF20" s="58">
        <f t="shared" si="19"/>
        <v>16940</v>
      </c>
      <c r="AG20" s="58">
        <f t="shared" si="20"/>
        <v>16940</v>
      </c>
      <c r="AH20" s="58">
        <f t="shared" si="25"/>
        <v>17450</v>
      </c>
      <c r="AI20" s="58">
        <f t="shared" ref="AI20" si="46">AH20+IF(MOD(AH20*0.03,10)&gt;=1,AH20*0.03-MOD(AH20*0.03,10)+10,AH20*0.03-MOD(AH20*0.03,10))</f>
        <v>17980</v>
      </c>
      <c r="AJ20" s="69">
        <f t="shared" si="45"/>
        <v>0</v>
      </c>
      <c r="AK20" s="59">
        <f t="shared" si="14"/>
        <v>0</v>
      </c>
      <c r="AL20" s="58">
        <f t="shared" si="22"/>
        <v>0</v>
      </c>
      <c r="AM20" s="69">
        <f t="shared" si="23"/>
        <v>16940</v>
      </c>
    </row>
    <row r="21" spans="1:39" s="70" customFormat="1" ht="15" customHeight="1" x14ac:dyDescent="0.25">
      <c r="A21" s="83">
        <v>40087</v>
      </c>
      <c r="B21" s="84">
        <v>0.16</v>
      </c>
      <c r="C21" s="85">
        <f t="shared" si="15"/>
        <v>16940</v>
      </c>
      <c r="D21" s="86">
        <f t="shared" si="0"/>
        <v>2710</v>
      </c>
      <c r="E21" s="86">
        <f t="shared" si="1"/>
        <v>2541</v>
      </c>
      <c r="F21" s="86">
        <f t="shared" si="36"/>
        <v>300</v>
      </c>
      <c r="G21" s="86"/>
      <c r="H21" s="86">
        <f t="shared" si="16"/>
        <v>22491</v>
      </c>
      <c r="I21" s="87">
        <f t="shared" si="3"/>
        <v>130</v>
      </c>
      <c r="J21" s="86"/>
      <c r="K21" s="86"/>
      <c r="L21" s="88">
        <f t="shared" si="4"/>
        <v>22361</v>
      </c>
      <c r="M21" s="88"/>
      <c r="N21" s="88">
        <f t="shared" si="17"/>
        <v>1864</v>
      </c>
      <c r="O21" s="85">
        <f>O20-O15+1</f>
        <v>21</v>
      </c>
      <c r="P21" s="83">
        <v>40087</v>
      </c>
      <c r="Q21" s="84">
        <f>Q20</f>
        <v>0.27</v>
      </c>
      <c r="R21" s="86">
        <f t="shared" si="5"/>
        <v>16940</v>
      </c>
      <c r="S21" s="87">
        <f t="shared" si="6"/>
        <v>4574</v>
      </c>
      <c r="T21" s="86">
        <f t="shared" si="37"/>
        <v>2541</v>
      </c>
      <c r="U21" s="86">
        <f t="shared" si="39"/>
        <v>300</v>
      </c>
      <c r="V21" s="86"/>
      <c r="W21" s="86">
        <f t="shared" si="8"/>
        <v>24355</v>
      </c>
      <c r="X21" s="87">
        <f t="shared" si="9"/>
        <v>130</v>
      </c>
      <c r="Y21" s="86"/>
      <c r="Z21" s="86"/>
      <c r="AA21" s="88">
        <f t="shared" si="10"/>
        <v>24225</v>
      </c>
      <c r="AB21" s="67"/>
      <c r="AC21" s="68" t="str">
        <f t="shared" si="11"/>
        <v>Oct-2009</v>
      </c>
      <c r="AD21" s="59">
        <f t="shared" si="43"/>
        <v>16940</v>
      </c>
      <c r="AE21" s="56">
        <f>IF(Arrear!$C$7="Y",AF21,IF(Arrear!$C$6="Y",AF21,0))</f>
        <v>16940</v>
      </c>
      <c r="AF21" s="58">
        <f t="shared" si="19"/>
        <v>16940</v>
      </c>
      <c r="AG21" s="58">
        <f t="shared" si="20"/>
        <v>16940</v>
      </c>
      <c r="AH21" s="58">
        <f t="shared" si="25"/>
        <v>17450</v>
      </c>
      <c r="AI21" s="58">
        <f t="shared" ref="AI21" si="47">AH21+IF(MOD(AH21*0.03,10)&gt;=1,AH21*0.03-MOD(AH21*0.03,10)+10,AH21*0.03-MOD(AH21*0.03,10))</f>
        <v>17980</v>
      </c>
      <c r="AJ21" s="69">
        <f t="shared" si="45"/>
        <v>0</v>
      </c>
      <c r="AK21" s="59">
        <f t="shared" si="14"/>
        <v>0</v>
      </c>
      <c r="AL21" s="58">
        <f t="shared" si="22"/>
        <v>0</v>
      </c>
      <c r="AM21" s="69">
        <f t="shared" si="23"/>
        <v>16940</v>
      </c>
    </row>
    <row r="22" spans="1:39" s="70" customFormat="1" ht="15" customHeight="1" x14ac:dyDescent="0.25">
      <c r="A22" s="83">
        <v>40118</v>
      </c>
      <c r="B22" s="84">
        <v>0.16</v>
      </c>
      <c r="C22" s="85">
        <f t="shared" si="15"/>
        <v>16940</v>
      </c>
      <c r="D22" s="86">
        <f t="shared" si="0"/>
        <v>2710</v>
      </c>
      <c r="E22" s="86">
        <f t="shared" si="1"/>
        <v>2541</v>
      </c>
      <c r="F22" s="86">
        <f t="shared" si="36"/>
        <v>300</v>
      </c>
      <c r="G22" s="86"/>
      <c r="H22" s="86">
        <f t="shared" si="16"/>
        <v>22491</v>
      </c>
      <c r="I22" s="87">
        <f t="shared" si="3"/>
        <v>130</v>
      </c>
      <c r="J22" s="86"/>
      <c r="K22" s="86"/>
      <c r="L22" s="88">
        <f t="shared" si="4"/>
        <v>22361</v>
      </c>
      <c r="M22" s="88"/>
      <c r="N22" s="88">
        <f t="shared" si="17"/>
        <v>1864</v>
      </c>
      <c r="O22" s="99">
        <f>O15-EOMONTH(O15,-1)-1</f>
        <v>10</v>
      </c>
      <c r="P22" s="83">
        <v>40118</v>
      </c>
      <c r="Q22" s="84">
        <f>Q21</f>
        <v>0.27</v>
      </c>
      <c r="R22" s="86">
        <f t="shared" si="5"/>
        <v>16940</v>
      </c>
      <c r="S22" s="87">
        <f t="shared" si="6"/>
        <v>4574</v>
      </c>
      <c r="T22" s="86">
        <f t="shared" si="37"/>
        <v>2541</v>
      </c>
      <c r="U22" s="86">
        <f t="shared" si="39"/>
        <v>300</v>
      </c>
      <c r="V22" s="86"/>
      <c r="W22" s="86">
        <f t="shared" si="8"/>
        <v>24355</v>
      </c>
      <c r="X22" s="87">
        <f t="shared" si="9"/>
        <v>130</v>
      </c>
      <c r="Y22" s="86"/>
      <c r="Z22" s="86"/>
      <c r="AA22" s="88">
        <f t="shared" si="10"/>
        <v>24225</v>
      </c>
      <c r="AB22" s="67"/>
      <c r="AC22" s="68" t="str">
        <f t="shared" si="11"/>
        <v>Nov-2009</v>
      </c>
      <c r="AD22" s="59">
        <f t="shared" si="43"/>
        <v>16940</v>
      </c>
      <c r="AE22" s="56">
        <f>IF(Arrear!$C$7="Y",AF22,IF(Arrear!$C$6="Y",AF22,0))</f>
        <v>16940</v>
      </c>
      <c r="AF22" s="58">
        <f t="shared" si="19"/>
        <v>16940</v>
      </c>
      <c r="AG22" s="58">
        <f t="shared" si="20"/>
        <v>16940</v>
      </c>
      <c r="AH22" s="58">
        <f t="shared" si="25"/>
        <v>17450</v>
      </c>
      <c r="AI22" s="58">
        <f t="shared" ref="AI22" si="48">AH22+IF(MOD(AH22*0.03,10)&gt;=1,AH22*0.03-MOD(AH22*0.03,10)+10,AH22*0.03-MOD(AH22*0.03,10))</f>
        <v>17980</v>
      </c>
      <c r="AJ22" s="69">
        <f t="shared" si="45"/>
        <v>0</v>
      </c>
      <c r="AK22" s="59">
        <f t="shared" si="14"/>
        <v>0</v>
      </c>
      <c r="AL22" s="58">
        <f t="shared" si="22"/>
        <v>0</v>
      </c>
      <c r="AM22" s="69">
        <f t="shared" si="23"/>
        <v>16940</v>
      </c>
    </row>
    <row r="23" spans="1:39" s="70" customFormat="1" ht="15" customHeight="1" x14ac:dyDescent="0.25">
      <c r="A23" s="83">
        <v>40148</v>
      </c>
      <c r="B23" s="84">
        <v>0.22</v>
      </c>
      <c r="C23" s="85">
        <f t="shared" si="15"/>
        <v>16940</v>
      </c>
      <c r="D23" s="86">
        <f t="shared" si="0"/>
        <v>3727</v>
      </c>
      <c r="E23" s="86">
        <f t="shared" si="1"/>
        <v>2541</v>
      </c>
      <c r="F23" s="86">
        <f t="shared" si="36"/>
        <v>300</v>
      </c>
      <c r="G23" s="86"/>
      <c r="H23" s="86">
        <f t="shared" si="16"/>
        <v>23508</v>
      </c>
      <c r="I23" s="87">
        <f t="shared" si="3"/>
        <v>130</v>
      </c>
      <c r="J23" s="86"/>
      <c r="K23" s="86"/>
      <c r="L23" s="88">
        <f t="shared" si="4"/>
        <v>23378</v>
      </c>
      <c r="M23" s="88"/>
      <c r="N23" s="88">
        <f t="shared" si="17"/>
        <v>847</v>
      </c>
      <c r="O23" s="85">
        <f>O16+IF(MOD(O16*0.03,10)&gt;=1,O16*0.03-MOD(O16*0.03,10)+10,O16*0.03-MOD(O16*0.03,10))</f>
        <v>22140</v>
      </c>
      <c r="P23" s="83">
        <v>40148</v>
      </c>
      <c r="Q23" s="84">
        <f>Q22</f>
        <v>0.27</v>
      </c>
      <c r="R23" s="86">
        <f t="shared" si="5"/>
        <v>16940</v>
      </c>
      <c r="S23" s="87">
        <f t="shared" si="6"/>
        <v>4574</v>
      </c>
      <c r="T23" s="86">
        <f t="shared" si="37"/>
        <v>2541</v>
      </c>
      <c r="U23" s="86">
        <f t="shared" si="39"/>
        <v>300</v>
      </c>
      <c r="V23" s="86"/>
      <c r="W23" s="86">
        <f t="shared" si="8"/>
        <v>24355</v>
      </c>
      <c r="X23" s="87">
        <f t="shared" si="9"/>
        <v>130</v>
      </c>
      <c r="Y23" s="86"/>
      <c r="Z23" s="86"/>
      <c r="AA23" s="88">
        <f t="shared" si="10"/>
        <v>24225</v>
      </c>
      <c r="AB23" s="67"/>
      <c r="AC23" s="68" t="str">
        <f t="shared" si="11"/>
        <v>Dec-2009</v>
      </c>
      <c r="AD23" s="59">
        <f t="shared" si="43"/>
        <v>16940</v>
      </c>
      <c r="AE23" s="56">
        <f>IF(Arrear!$C$7="Y",AF23,IF(Arrear!$C$6="Y",AF23,0))</f>
        <v>16940</v>
      </c>
      <c r="AF23" s="58">
        <f t="shared" si="19"/>
        <v>16940</v>
      </c>
      <c r="AG23" s="58">
        <f t="shared" si="20"/>
        <v>16940</v>
      </c>
      <c r="AH23" s="58">
        <f t="shared" si="25"/>
        <v>17450</v>
      </c>
      <c r="AI23" s="58">
        <f t="shared" ref="AI23" si="49">AH23+IF(MOD(AH23*0.03,10)&gt;=1,AH23*0.03-MOD(AH23*0.03,10)+10,AH23*0.03-MOD(AH23*0.03,10))</f>
        <v>17980</v>
      </c>
      <c r="AJ23" s="69">
        <f t="shared" si="45"/>
        <v>0</v>
      </c>
      <c r="AK23" s="59">
        <f t="shared" si="14"/>
        <v>0</v>
      </c>
      <c r="AL23" s="58">
        <f t="shared" si="22"/>
        <v>0</v>
      </c>
      <c r="AM23" s="69">
        <f t="shared" si="23"/>
        <v>16940</v>
      </c>
    </row>
    <row r="24" spans="1:39" s="70" customFormat="1" ht="15" customHeight="1" x14ac:dyDescent="0.25">
      <c r="A24" s="83">
        <v>40179</v>
      </c>
      <c r="B24" s="84">
        <v>0.22</v>
      </c>
      <c r="C24" s="85">
        <f t="shared" si="15"/>
        <v>16940</v>
      </c>
      <c r="D24" s="86">
        <f t="shared" si="0"/>
        <v>3727</v>
      </c>
      <c r="E24" s="86">
        <f t="shared" si="1"/>
        <v>2541</v>
      </c>
      <c r="F24" s="86">
        <f t="shared" si="36"/>
        <v>300</v>
      </c>
      <c r="G24" s="86"/>
      <c r="H24" s="86">
        <f t="shared" si="16"/>
        <v>23508</v>
      </c>
      <c r="I24" s="87">
        <f t="shared" si="3"/>
        <v>130</v>
      </c>
      <c r="J24" s="86"/>
      <c r="K24" s="86"/>
      <c r="L24" s="88">
        <f t="shared" si="4"/>
        <v>23378</v>
      </c>
      <c r="M24" s="88"/>
      <c r="N24" s="88">
        <f t="shared" si="17"/>
        <v>2202</v>
      </c>
      <c r="O24" s="85"/>
      <c r="P24" s="83">
        <v>40179</v>
      </c>
      <c r="Q24" s="84">
        <v>0.35</v>
      </c>
      <c r="R24" s="86">
        <f t="shared" si="5"/>
        <v>16940</v>
      </c>
      <c r="S24" s="87">
        <f t="shared" si="6"/>
        <v>5929</v>
      </c>
      <c r="T24" s="86">
        <f t="shared" si="37"/>
        <v>2541</v>
      </c>
      <c r="U24" s="86">
        <f t="shared" si="39"/>
        <v>300</v>
      </c>
      <c r="V24" s="86"/>
      <c r="W24" s="86">
        <f t="shared" si="8"/>
        <v>25710</v>
      </c>
      <c r="X24" s="87">
        <f t="shared" si="9"/>
        <v>150</v>
      </c>
      <c r="Y24" s="86"/>
      <c r="Z24" s="86"/>
      <c r="AA24" s="88">
        <f t="shared" si="10"/>
        <v>25560</v>
      </c>
      <c r="AB24" s="67"/>
      <c r="AC24" s="68" t="str">
        <f t="shared" si="11"/>
        <v>Jan-2010</v>
      </c>
      <c r="AD24" s="59">
        <f t="shared" si="43"/>
        <v>16940</v>
      </c>
      <c r="AE24" s="56">
        <f>IF(Arrear!$C$7="Y",AF24,IF(Arrear!$C$6="Y",AF24,0))</f>
        <v>16940</v>
      </c>
      <c r="AF24" s="58">
        <f t="shared" si="19"/>
        <v>16940</v>
      </c>
      <c r="AG24" s="58">
        <f t="shared" si="20"/>
        <v>16940</v>
      </c>
      <c r="AH24" s="58">
        <f t="shared" si="25"/>
        <v>17450</v>
      </c>
      <c r="AI24" s="58">
        <f t="shared" ref="AI24" si="50">AH24+IF(MOD(AH24*0.03,10)&gt;=1,AH24*0.03-MOD(AH24*0.03,10)+10,AH24*0.03-MOD(AH24*0.03,10))</f>
        <v>17980</v>
      </c>
      <c r="AJ24" s="69">
        <f t="shared" si="45"/>
        <v>0</v>
      </c>
      <c r="AK24" s="59">
        <f t="shared" si="14"/>
        <v>0</v>
      </c>
      <c r="AL24" s="58">
        <f t="shared" si="22"/>
        <v>0</v>
      </c>
      <c r="AM24" s="69">
        <f t="shared" si="23"/>
        <v>16940</v>
      </c>
    </row>
    <row r="25" spans="1:39" s="70" customFormat="1" ht="15" customHeight="1" x14ac:dyDescent="0.25">
      <c r="A25" s="83">
        <v>40210</v>
      </c>
      <c r="B25" s="84">
        <v>0.22</v>
      </c>
      <c r="C25" s="85">
        <f t="shared" si="15"/>
        <v>16940</v>
      </c>
      <c r="D25" s="86">
        <f t="shared" si="0"/>
        <v>3727</v>
      </c>
      <c r="E25" s="86">
        <f t="shared" si="1"/>
        <v>2541</v>
      </c>
      <c r="F25" s="86">
        <f t="shared" si="36"/>
        <v>300</v>
      </c>
      <c r="G25" s="86"/>
      <c r="H25" s="86">
        <f t="shared" si="16"/>
        <v>23508</v>
      </c>
      <c r="I25" s="87">
        <f t="shared" si="3"/>
        <v>130</v>
      </c>
      <c r="J25" s="86"/>
      <c r="K25" s="86"/>
      <c r="L25" s="88">
        <f t="shared" si="4"/>
        <v>23378</v>
      </c>
      <c r="M25" s="88"/>
      <c r="N25" s="88">
        <f t="shared" si="17"/>
        <v>2202</v>
      </c>
      <c r="O25" s="85" t="s">
        <v>39</v>
      </c>
      <c r="P25" s="83">
        <v>40210</v>
      </c>
      <c r="Q25" s="84">
        <f>Q24</f>
        <v>0.35</v>
      </c>
      <c r="R25" s="86">
        <f t="shared" si="5"/>
        <v>16940</v>
      </c>
      <c r="S25" s="87">
        <f t="shared" si="6"/>
        <v>5929</v>
      </c>
      <c r="T25" s="86">
        <f t="shared" si="37"/>
        <v>2541</v>
      </c>
      <c r="U25" s="86">
        <f t="shared" si="39"/>
        <v>300</v>
      </c>
      <c r="V25" s="86"/>
      <c r="W25" s="86">
        <f t="shared" si="8"/>
        <v>25710</v>
      </c>
      <c r="X25" s="87">
        <f t="shared" si="9"/>
        <v>150</v>
      </c>
      <c r="Y25" s="86"/>
      <c r="Z25" s="86"/>
      <c r="AA25" s="88">
        <f t="shared" si="10"/>
        <v>25560</v>
      </c>
      <c r="AB25" s="67"/>
      <c r="AC25" s="68" t="str">
        <f t="shared" si="11"/>
        <v>Feb-2010</v>
      </c>
      <c r="AD25" s="59">
        <f t="shared" si="43"/>
        <v>16940</v>
      </c>
      <c r="AE25" s="56">
        <f>IF(Arrear!$C$7="Y",AF25,IF(Arrear!$C$6="Y",AF25,0))</f>
        <v>16940</v>
      </c>
      <c r="AF25" s="58">
        <f t="shared" si="19"/>
        <v>16940</v>
      </c>
      <c r="AG25" s="58">
        <f t="shared" si="20"/>
        <v>16940</v>
      </c>
      <c r="AH25" s="58">
        <f t="shared" si="25"/>
        <v>17450</v>
      </c>
      <c r="AI25" s="58">
        <f t="shared" ref="AI25" si="51">AH25+IF(MOD(AH25*0.03,10)&gt;=1,AH25*0.03-MOD(AH25*0.03,10)+10,AH25*0.03-MOD(AH25*0.03,10))</f>
        <v>17980</v>
      </c>
      <c r="AJ25" s="69">
        <f t="shared" si="45"/>
        <v>0</v>
      </c>
      <c r="AK25" s="59">
        <f t="shared" si="14"/>
        <v>0</v>
      </c>
      <c r="AL25" s="58">
        <f t="shared" si="22"/>
        <v>0</v>
      </c>
      <c r="AM25" s="69">
        <f t="shared" si="23"/>
        <v>16940</v>
      </c>
    </row>
    <row r="26" spans="1:39" s="70" customFormat="1" ht="15" customHeight="1" x14ac:dyDescent="0.25">
      <c r="A26" s="83">
        <v>40238</v>
      </c>
      <c r="B26" s="84">
        <v>0.22</v>
      </c>
      <c r="C26" s="85">
        <f t="shared" si="15"/>
        <v>16940</v>
      </c>
      <c r="D26" s="86">
        <f t="shared" si="0"/>
        <v>3727</v>
      </c>
      <c r="E26" s="86">
        <f t="shared" si="1"/>
        <v>2541</v>
      </c>
      <c r="F26" s="86">
        <f t="shared" si="36"/>
        <v>300</v>
      </c>
      <c r="G26" s="86"/>
      <c r="H26" s="86">
        <f t="shared" si="16"/>
        <v>23508</v>
      </c>
      <c r="I26" s="87">
        <f t="shared" si="3"/>
        <v>130</v>
      </c>
      <c r="J26" s="86"/>
      <c r="K26" s="86"/>
      <c r="L26" s="88">
        <f t="shared" si="4"/>
        <v>23378</v>
      </c>
      <c r="M26" s="88"/>
      <c r="N26" s="88">
        <f t="shared" si="17"/>
        <v>2202</v>
      </c>
      <c r="O26" s="95">
        <f>VLOOKUP(O15,P:AK,19,TRUE)</f>
        <v>22590</v>
      </c>
      <c r="P26" s="83">
        <v>40238</v>
      </c>
      <c r="Q26" s="84">
        <f>Q25</f>
        <v>0.35</v>
      </c>
      <c r="R26" s="86">
        <f t="shared" si="5"/>
        <v>16940</v>
      </c>
      <c r="S26" s="87">
        <f t="shared" si="6"/>
        <v>5929</v>
      </c>
      <c r="T26" s="86">
        <f t="shared" si="37"/>
        <v>2541</v>
      </c>
      <c r="U26" s="86">
        <f t="shared" si="39"/>
        <v>300</v>
      </c>
      <c r="V26" s="86"/>
      <c r="W26" s="86">
        <f t="shared" si="8"/>
        <v>25710</v>
      </c>
      <c r="X26" s="87">
        <f t="shared" si="9"/>
        <v>150</v>
      </c>
      <c r="Y26" s="86"/>
      <c r="Z26" s="86"/>
      <c r="AA26" s="88">
        <f t="shared" si="10"/>
        <v>25560</v>
      </c>
      <c r="AB26" s="67"/>
      <c r="AC26" s="68" t="str">
        <f t="shared" si="11"/>
        <v>Mar-2010</v>
      </c>
      <c r="AD26" s="59">
        <f t="shared" si="43"/>
        <v>16940</v>
      </c>
      <c r="AE26" s="56">
        <f>IF(Arrear!$C$7="Y",AF26,IF(Arrear!$C$6="Y",AF26,0))</f>
        <v>16940</v>
      </c>
      <c r="AF26" s="58">
        <f t="shared" si="19"/>
        <v>16940</v>
      </c>
      <c r="AG26" s="58">
        <f t="shared" si="20"/>
        <v>16940</v>
      </c>
      <c r="AH26" s="58">
        <f t="shared" si="25"/>
        <v>17450</v>
      </c>
      <c r="AI26" s="58">
        <f t="shared" ref="AI26" si="52">AH26+IF(MOD(AH26*0.03,10)&gt;=1,AH26*0.03-MOD(AH26*0.03,10)+10,AH26*0.03-MOD(AH26*0.03,10))</f>
        <v>17980</v>
      </c>
      <c r="AJ26" s="69">
        <f t="shared" si="45"/>
        <v>0</v>
      </c>
      <c r="AK26" s="59">
        <f t="shared" si="14"/>
        <v>0</v>
      </c>
      <c r="AL26" s="58">
        <f t="shared" si="22"/>
        <v>0</v>
      </c>
      <c r="AM26" s="69">
        <f t="shared" si="23"/>
        <v>16940</v>
      </c>
    </row>
    <row r="27" spans="1:39" s="70" customFormat="1" ht="15" customHeight="1" x14ac:dyDescent="0.25">
      <c r="A27" s="83">
        <v>40269</v>
      </c>
      <c r="B27" s="84">
        <v>0.27</v>
      </c>
      <c r="C27" s="85">
        <f t="shared" si="15"/>
        <v>16940</v>
      </c>
      <c r="D27" s="86">
        <f t="shared" si="0"/>
        <v>4574</v>
      </c>
      <c r="E27" s="86">
        <f t="shared" si="1"/>
        <v>2541</v>
      </c>
      <c r="F27" s="86">
        <f t="shared" si="36"/>
        <v>300</v>
      </c>
      <c r="G27" s="86"/>
      <c r="H27" s="86">
        <f t="shared" si="16"/>
        <v>24355</v>
      </c>
      <c r="I27" s="87">
        <f t="shared" si="3"/>
        <v>130</v>
      </c>
      <c r="J27" s="86"/>
      <c r="K27" s="86"/>
      <c r="L27" s="88">
        <f t="shared" si="4"/>
        <v>24225</v>
      </c>
      <c r="M27" s="88"/>
      <c r="N27" s="88">
        <f t="shared" si="17"/>
        <v>1355</v>
      </c>
      <c r="O27" s="95">
        <f>O26+IF(MOD(O26*0.03,10)&gt;=1,O26*0.03-MOD(O26*0.03,10)+10,O26*0.03-MOD(O26*0.03,10))+IF(TEXT(O25,"dd-mmm")="01-Jul",IF(MOD(O33*0.03,10)&gt;=1,O33*0.03-MOD(O33*0.03,10)+10,O33*0.03-MOD(O33*0.03,10)),0)</f>
        <v>23270</v>
      </c>
      <c r="P27" s="83">
        <v>40269</v>
      </c>
      <c r="Q27" s="84">
        <f>Q26</f>
        <v>0.35</v>
      </c>
      <c r="R27" s="86">
        <f t="shared" si="5"/>
        <v>16940</v>
      </c>
      <c r="S27" s="87">
        <f t="shared" si="6"/>
        <v>5929</v>
      </c>
      <c r="T27" s="86">
        <f t="shared" si="37"/>
        <v>2541</v>
      </c>
      <c r="U27" s="86">
        <f t="shared" si="39"/>
        <v>300</v>
      </c>
      <c r="V27" s="86"/>
      <c r="W27" s="86">
        <f t="shared" si="8"/>
        <v>25710</v>
      </c>
      <c r="X27" s="87">
        <f t="shared" si="9"/>
        <v>150</v>
      </c>
      <c r="Y27" s="86"/>
      <c r="Z27" s="86"/>
      <c r="AA27" s="88">
        <f t="shared" si="10"/>
        <v>25560</v>
      </c>
      <c r="AB27" s="67"/>
      <c r="AC27" s="68" t="str">
        <f t="shared" si="11"/>
        <v>Apr-2010</v>
      </c>
      <c r="AD27" s="59">
        <f t="shared" si="43"/>
        <v>16940</v>
      </c>
      <c r="AE27" s="56">
        <f>IF(Arrear!$C$7="Y",AF27,IF(Arrear!$C$6="Y",AF27,0))</f>
        <v>16940</v>
      </c>
      <c r="AF27" s="58">
        <f t="shared" si="19"/>
        <v>16940</v>
      </c>
      <c r="AG27" s="58">
        <f t="shared" si="20"/>
        <v>16940</v>
      </c>
      <c r="AH27" s="58">
        <f t="shared" si="25"/>
        <v>17450</v>
      </c>
      <c r="AI27" s="58">
        <f t="shared" ref="AI27" si="53">AH27+IF(MOD(AH27*0.03,10)&gt;=1,AH27*0.03-MOD(AH27*0.03,10)+10,AH27*0.03-MOD(AH27*0.03,10))</f>
        <v>17980</v>
      </c>
      <c r="AJ27" s="69">
        <f t="shared" si="45"/>
        <v>0</v>
      </c>
      <c r="AK27" s="59">
        <f t="shared" si="14"/>
        <v>0</v>
      </c>
      <c r="AL27" s="58">
        <f t="shared" si="22"/>
        <v>0</v>
      </c>
      <c r="AM27" s="69">
        <f t="shared" si="23"/>
        <v>16940</v>
      </c>
    </row>
    <row r="28" spans="1:39" s="70" customFormat="1" ht="15" customHeight="1" x14ac:dyDescent="0.25">
      <c r="A28" s="83">
        <v>40299</v>
      </c>
      <c r="B28" s="84">
        <v>0.27</v>
      </c>
      <c r="C28" s="85">
        <f t="shared" si="15"/>
        <v>16940</v>
      </c>
      <c r="D28" s="86">
        <f t="shared" si="0"/>
        <v>4574</v>
      </c>
      <c r="E28" s="86">
        <f t="shared" si="1"/>
        <v>2541</v>
      </c>
      <c r="F28" s="86">
        <f t="shared" si="36"/>
        <v>300</v>
      </c>
      <c r="G28" s="86"/>
      <c r="H28" s="86">
        <f t="shared" si="16"/>
        <v>24355</v>
      </c>
      <c r="I28" s="87">
        <f t="shared" si="3"/>
        <v>130</v>
      </c>
      <c r="J28" s="86"/>
      <c r="K28" s="86"/>
      <c r="L28" s="88">
        <f t="shared" si="4"/>
        <v>24225</v>
      </c>
      <c r="M28" s="88"/>
      <c r="N28" s="88">
        <f t="shared" si="17"/>
        <v>1355</v>
      </c>
      <c r="O28" s="100">
        <f>ROUND(O26/(O21+O22)*O22,0)+ROUND(O27/(O21+O22)*O21,0)</f>
        <v>23051</v>
      </c>
      <c r="P28" s="83">
        <v>40299</v>
      </c>
      <c r="Q28" s="84">
        <f>Q27</f>
        <v>0.35</v>
      </c>
      <c r="R28" s="86">
        <f t="shared" si="5"/>
        <v>16940</v>
      </c>
      <c r="S28" s="87">
        <f t="shared" si="6"/>
        <v>5929</v>
      </c>
      <c r="T28" s="86">
        <f t="shared" si="37"/>
        <v>2541</v>
      </c>
      <c r="U28" s="86">
        <f t="shared" si="39"/>
        <v>300</v>
      </c>
      <c r="V28" s="86"/>
      <c r="W28" s="86">
        <f t="shared" si="8"/>
        <v>25710</v>
      </c>
      <c r="X28" s="87">
        <f t="shared" si="9"/>
        <v>150</v>
      </c>
      <c r="Y28" s="86"/>
      <c r="Z28" s="86"/>
      <c r="AA28" s="88">
        <f t="shared" si="10"/>
        <v>25560</v>
      </c>
      <c r="AB28" s="67"/>
      <c r="AC28" s="68" t="str">
        <f t="shared" si="11"/>
        <v>May-2010</v>
      </c>
      <c r="AD28" s="59">
        <f t="shared" si="43"/>
        <v>16940</v>
      </c>
      <c r="AE28" s="56">
        <f>IF(Arrear!$C$7="Y",AF28,IF(Arrear!$C$6="Y",AF28,0))</f>
        <v>16940</v>
      </c>
      <c r="AF28" s="58">
        <f t="shared" si="19"/>
        <v>16940</v>
      </c>
      <c r="AG28" s="58">
        <f t="shared" si="20"/>
        <v>16940</v>
      </c>
      <c r="AH28" s="58">
        <f t="shared" si="25"/>
        <v>17450</v>
      </c>
      <c r="AI28" s="58">
        <f t="shared" ref="AI28" si="54">AH28+IF(MOD(AH28*0.03,10)&gt;=1,AH28*0.03-MOD(AH28*0.03,10)+10,AH28*0.03-MOD(AH28*0.03,10))</f>
        <v>17980</v>
      </c>
      <c r="AJ28" s="69">
        <f t="shared" si="45"/>
        <v>0</v>
      </c>
      <c r="AK28" s="59">
        <f t="shared" si="14"/>
        <v>0</v>
      </c>
      <c r="AL28" s="58">
        <f t="shared" si="22"/>
        <v>0</v>
      </c>
      <c r="AM28" s="69">
        <f t="shared" si="23"/>
        <v>16940</v>
      </c>
    </row>
    <row r="29" spans="1:39" s="70" customFormat="1" ht="15" customHeight="1" x14ac:dyDescent="0.25">
      <c r="A29" s="83">
        <v>40330</v>
      </c>
      <c r="B29" s="84">
        <v>0.27</v>
      </c>
      <c r="C29" s="85">
        <f t="shared" si="15"/>
        <v>16940</v>
      </c>
      <c r="D29" s="86">
        <f t="shared" si="0"/>
        <v>4574</v>
      </c>
      <c r="E29" s="86">
        <f t="shared" si="1"/>
        <v>2541</v>
      </c>
      <c r="F29" s="86">
        <f t="shared" si="36"/>
        <v>300</v>
      </c>
      <c r="G29" s="86"/>
      <c r="H29" s="86">
        <f t="shared" si="16"/>
        <v>24355</v>
      </c>
      <c r="I29" s="87">
        <f t="shared" si="3"/>
        <v>130</v>
      </c>
      <c r="J29" s="86"/>
      <c r="K29" s="86"/>
      <c r="L29" s="88">
        <f t="shared" si="4"/>
        <v>24225</v>
      </c>
      <c r="M29" s="88"/>
      <c r="N29" s="88">
        <f t="shared" si="17"/>
        <v>1355</v>
      </c>
      <c r="O29" s="85"/>
      <c r="P29" s="83">
        <v>40330</v>
      </c>
      <c r="Q29" s="84">
        <f>Q28</f>
        <v>0.35</v>
      </c>
      <c r="R29" s="86">
        <f t="shared" si="5"/>
        <v>16940</v>
      </c>
      <c r="S29" s="87">
        <f t="shared" si="6"/>
        <v>5929</v>
      </c>
      <c r="T29" s="86">
        <f t="shared" si="37"/>
        <v>2541</v>
      </c>
      <c r="U29" s="86">
        <f t="shared" si="39"/>
        <v>300</v>
      </c>
      <c r="V29" s="86"/>
      <c r="W29" s="86">
        <f t="shared" si="8"/>
        <v>25710</v>
      </c>
      <c r="X29" s="87">
        <f t="shared" si="9"/>
        <v>150</v>
      </c>
      <c r="Y29" s="86"/>
      <c r="Z29" s="86"/>
      <c r="AA29" s="88">
        <f t="shared" si="10"/>
        <v>25560</v>
      </c>
      <c r="AB29" s="67"/>
      <c r="AC29" s="68" t="str">
        <f t="shared" si="11"/>
        <v>Jun-2010</v>
      </c>
      <c r="AD29" s="59">
        <f t="shared" si="43"/>
        <v>16940</v>
      </c>
      <c r="AE29" s="56">
        <f>IF(Arrear!$C$7="Y",AF29,IF(Arrear!$C$6="Y",AF29,0))</f>
        <v>16940</v>
      </c>
      <c r="AF29" s="58">
        <f t="shared" si="19"/>
        <v>16940</v>
      </c>
      <c r="AG29" s="58">
        <f t="shared" si="20"/>
        <v>16940</v>
      </c>
      <c r="AH29" s="58">
        <f t="shared" si="25"/>
        <v>17450</v>
      </c>
      <c r="AI29" s="58">
        <f t="shared" ref="AI29" si="55">AH29+IF(MOD(AH29*0.03,10)&gt;=1,AH29*0.03-MOD(AH29*0.03,10)+10,AH29*0.03-MOD(AH29*0.03,10))</f>
        <v>17980</v>
      </c>
      <c r="AJ29" s="69">
        <f t="shared" si="45"/>
        <v>0</v>
      </c>
      <c r="AK29" s="59">
        <f t="shared" si="14"/>
        <v>0</v>
      </c>
      <c r="AL29" s="58">
        <f t="shared" si="22"/>
        <v>0</v>
      </c>
      <c r="AM29" s="69">
        <f t="shared" si="23"/>
        <v>16940</v>
      </c>
    </row>
    <row r="30" spans="1:39" s="70" customFormat="1" ht="15" customHeight="1" x14ac:dyDescent="0.25">
      <c r="A30" s="83">
        <v>40360</v>
      </c>
      <c r="B30" s="84">
        <v>0.27</v>
      </c>
      <c r="C30" s="85">
        <f t="shared" si="15"/>
        <v>17450</v>
      </c>
      <c r="D30" s="86">
        <f t="shared" si="0"/>
        <v>4712</v>
      </c>
      <c r="E30" s="86">
        <f t="shared" si="1"/>
        <v>2617.5</v>
      </c>
      <c r="F30" s="86">
        <f t="shared" si="36"/>
        <v>300</v>
      </c>
      <c r="G30" s="86"/>
      <c r="H30" s="86">
        <f t="shared" si="16"/>
        <v>25079.5</v>
      </c>
      <c r="I30" s="87">
        <f t="shared" si="3"/>
        <v>150</v>
      </c>
      <c r="J30" s="86"/>
      <c r="K30" s="86"/>
      <c r="L30" s="88">
        <f t="shared" si="4"/>
        <v>24929.5</v>
      </c>
      <c r="M30" s="88"/>
      <c r="N30" s="88">
        <f t="shared" si="17"/>
        <v>3141</v>
      </c>
      <c r="O30" s="85" t="s">
        <v>43</v>
      </c>
      <c r="P30" s="83">
        <v>40360</v>
      </c>
      <c r="Q30" s="84">
        <v>0.45</v>
      </c>
      <c r="R30" s="86">
        <f t="shared" si="5"/>
        <v>17450</v>
      </c>
      <c r="S30" s="87">
        <f t="shared" si="6"/>
        <v>7853</v>
      </c>
      <c r="T30" s="86">
        <f t="shared" si="37"/>
        <v>2618</v>
      </c>
      <c r="U30" s="86">
        <f t="shared" si="39"/>
        <v>300</v>
      </c>
      <c r="V30" s="86"/>
      <c r="W30" s="86">
        <f t="shared" si="8"/>
        <v>28221</v>
      </c>
      <c r="X30" s="87">
        <f t="shared" si="9"/>
        <v>150</v>
      </c>
      <c r="Y30" s="86"/>
      <c r="Z30" s="86"/>
      <c r="AA30" s="88">
        <f t="shared" si="10"/>
        <v>28071</v>
      </c>
      <c r="AB30" s="67"/>
      <c r="AC30" s="68" t="str">
        <f t="shared" si="11"/>
        <v>Jul-2010</v>
      </c>
      <c r="AD30" s="59">
        <f>AD18+IF(MOD(AD18*0.03,10)&gt;=1,AD18*0.03-MOD(AD18*0.03,10)+10,AD18*0.03-MOD(AD18*0.03,10))</f>
        <v>17450</v>
      </c>
      <c r="AE30" s="56">
        <f>IF(Arrear!$C$7="Y",AF30,IF(Arrear!$C$6="Y",AF30,0))</f>
        <v>17450</v>
      </c>
      <c r="AF30" s="58">
        <f t="shared" si="19"/>
        <v>17450</v>
      </c>
      <c r="AG30" s="58">
        <f t="shared" si="20"/>
        <v>17450</v>
      </c>
      <c r="AH30" s="58">
        <f t="shared" si="25"/>
        <v>17980</v>
      </c>
      <c r="AI30" s="58">
        <f t="shared" ref="AI30" si="56">AH30+IF(MOD(AH30*0.03,10)&gt;=1,AH30*0.03-MOD(AH30*0.03,10)+10,AH30*0.03-MOD(AH30*0.03,10))</f>
        <v>18520</v>
      </c>
      <c r="AJ30" s="69">
        <f>IF(TEXT($O$7,"mmm-yyy")=AC30,$M$2,AJ29+IF(MOD(AJ29*0.03,10)&gt;=1,AJ29*0.03-MOD(AJ29*0.03,10)+10,AJ29*0.03-MOD(AJ29*0.03,10)))</f>
        <v>0</v>
      </c>
      <c r="AK30" s="59">
        <f>IF(TEXT($O$7,"mmm-yyy")=AC30,(AJ30-(ROUND(AJ30/(DAY(EOMONTH(A30,0)))*(DAY($O$7)-1),0))),IF(AC29=TEXT($O$7,"mmm-yyy"),AJ30,IF(AK29=0,AJ30,IF(AND(TEXT(A30,"mmm")="Jul",TEXT(A30,"yyy")=TEXT(Arrear!$B$2,"yyy")),AK29,AL29))))</f>
        <v>0</v>
      </c>
      <c r="AL30" s="58">
        <f t="shared" si="22"/>
        <v>0</v>
      </c>
      <c r="AM30" s="69">
        <f t="shared" si="23"/>
        <v>17450</v>
      </c>
    </row>
    <row r="31" spans="1:39" s="70" customFormat="1" ht="15" customHeight="1" x14ac:dyDescent="0.25">
      <c r="A31" s="83">
        <v>40391</v>
      </c>
      <c r="B31" s="84">
        <v>0.27</v>
      </c>
      <c r="C31" s="85">
        <f t="shared" si="15"/>
        <v>17450</v>
      </c>
      <c r="D31" s="86">
        <f t="shared" si="0"/>
        <v>4712</v>
      </c>
      <c r="E31" s="86">
        <f t="shared" si="1"/>
        <v>2617.5</v>
      </c>
      <c r="F31" s="86">
        <f t="shared" si="36"/>
        <v>300</v>
      </c>
      <c r="G31" s="86"/>
      <c r="H31" s="86">
        <f t="shared" si="16"/>
        <v>25079.5</v>
      </c>
      <c r="I31" s="87">
        <f t="shared" si="3"/>
        <v>150</v>
      </c>
      <c r="J31" s="86"/>
      <c r="K31" s="86"/>
      <c r="L31" s="88">
        <f t="shared" si="4"/>
        <v>24929.5</v>
      </c>
      <c r="M31" s="88"/>
      <c r="N31" s="88">
        <f t="shared" si="17"/>
        <v>3141</v>
      </c>
      <c r="O31" s="94">
        <f>Arrear!B7</f>
        <v>46671</v>
      </c>
      <c r="P31" s="83">
        <v>40391</v>
      </c>
      <c r="Q31" s="84">
        <f>Q30</f>
        <v>0.45</v>
      </c>
      <c r="R31" s="86">
        <f t="shared" si="5"/>
        <v>17450</v>
      </c>
      <c r="S31" s="87">
        <f t="shared" si="6"/>
        <v>7853</v>
      </c>
      <c r="T31" s="86">
        <f t="shared" si="37"/>
        <v>2618</v>
      </c>
      <c r="U31" s="86">
        <f t="shared" si="39"/>
        <v>300</v>
      </c>
      <c r="V31" s="86"/>
      <c r="W31" s="86">
        <f t="shared" si="8"/>
        <v>28221</v>
      </c>
      <c r="X31" s="87">
        <f t="shared" si="9"/>
        <v>150</v>
      </c>
      <c r="Y31" s="86"/>
      <c r="Z31" s="86"/>
      <c r="AA31" s="88">
        <f t="shared" si="10"/>
        <v>28071</v>
      </c>
      <c r="AB31" s="67"/>
      <c r="AC31" s="68" t="str">
        <f t="shared" si="11"/>
        <v>Aug-2010</v>
      </c>
      <c r="AD31" s="59">
        <f t="shared" ref="AD31:AD41" si="57">AD30</f>
        <v>17450</v>
      </c>
      <c r="AE31" s="56">
        <f>IF(Arrear!$C$7="Y",AF31,IF(Arrear!$C$6="Y",AF31,0))</f>
        <v>17450</v>
      </c>
      <c r="AF31" s="58">
        <f t="shared" si="19"/>
        <v>17450</v>
      </c>
      <c r="AG31" s="58">
        <f t="shared" si="20"/>
        <v>17450</v>
      </c>
      <c r="AH31" s="58">
        <f t="shared" si="25"/>
        <v>17980</v>
      </c>
      <c r="AI31" s="58">
        <f t="shared" ref="AI31" si="58">AH31+IF(MOD(AH31*0.03,10)&gt;=1,AH31*0.03-MOD(AH31*0.03,10)+10,AH31*0.03-MOD(AH31*0.03,10))</f>
        <v>18520</v>
      </c>
      <c r="AJ31" s="69">
        <f t="shared" ref="AJ31:AJ41" si="59">IF(TEXT($O$7,"mmm-yyy")=AC31,$M$2,AJ30)</f>
        <v>0</v>
      </c>
      <c r="AK31" s="59">
        <f t="shared" si="14"/>
        <v>0</v>
      </c>
      <c r="AL31" s="58">
        <f t="shared" si="22"/>
        <v>0</v>
      </c>
      <c r="AM31" s="69">
        <f t="shared" si="23"/>
        <v>17450</v>
      </c>
    </row>
    <row r="32" spans="1:39" s="70" customFormat="1" ht="15" customHeight="1" x14ac:dyDescent="0.25">
      <c r="A32" s="83">
        <v>40422</v>
      </c>
      <c r="B32" s="84">
        <v>0.27</v>
      </c>
      <c r="C32" s="85">
        <f t="shared" si="15"/>
        <v>17450</v>
      </c>
      <c r="D32" s="86">
        <f t="shared" si="0"/>
        <v>4712</v>
      </c>
      <c r="E32" s="86">
        <f t="shared" si="1"/>
        <v>2617.5</v>
      </c>
      <c r="F32" s="86">
        <f t="shared" si="36"/>
        <v>300</v>
      </c>
      <c r="G32" s="86"/>
      <c r="H32" s="86">
        <f t="shared" si="16"/>
        <v>25079.5</v>
      </c>
      <c r="I32" s="87">
        <f t="shared" si="3"/>
        <v>150</v>
      </c>
      <c r="J32" s="86"/>
      <c r="K32" s="86"/>
      <c r="L32" s="88">
        <f t="shared" si="4"/>
        <v>24929.5</v>
      </c>
      <c r="M32" s="88"/>
      <c r="N32" s="88">
        <f t="shared" si="17"/>
        <v>3141</v>
      </c>
      <c r="O32" s="95">
        <f>VLOOKUP(O31,P:AI,17,TRUE)</f>
        <v>23500</v>
      </c>
      <c r="P32" s="83">
        <v>40422</v>
      </c>
      <c r="Q32" s="84">
        <f>Q31</f>
        <v>0.45</v>
      </c>
      <c r="R32" s="86">
        <f t="shared" si="5"/>
        <v>17450</v>
      </c>
      <c r="S32" s="87">
        <f t="shared" si="6"/>
        <v>7853</v>
      </c>
      <c r="T32" s="86">
        <f t="shared" si="37"/>
        <v>2618</v>
      </c>
      <c r="U32" s="86">
        <f t="shared" si="39"/>
        <v>300</v>
      </c>
      <c r="V32" s="86"/>
      <c r="W32" s="86">
        <f t="shared" si="8"/>
        <v>28221</v>
      </c>
      <c r="X32" s="87">
        <f t="shared" si="9"/>
        <v>150</v>
      </c>
      <c r="Y32" s="86"/>
      <c r="Z32" s="86"/>
      <c r="AA32" s="88">
        <f t="shared" si="10"/>
        <v>28071</v>
      </c>
      <c r="AB32" s="67"/>
      <c r="AC32" s="68" t="str">
        <f t="shared" si="11"/>
        <v>Sep-2010</v>
      </c>
      <c r="AD32" s="59">
        <f t="shared" si="57"/>
        <v>17450</v>
      </c>
      <c r="AE32" s="56">
        <f>IF(Arrear!$C$7="Y",AF32,IF(Arrear!$C$6="Y",AF32,0))</f>
        <v>17450</v>
      </c>
      <c r="AF32" s="58">
        <f t="shared" si="19"/>
        <v>17450</v>
      </c>
      <c r="AG32" s="58">
        <f t="shared" si="20"/>
        <v>17450</v>
      </c>
      <c r="AH32" s="58">
        <f t="shared" si="25"/>
        <v>17980</v>
      </c>
      <c r="AI32" s="58">
        <f t="shared" ref="AI32" si="60">AH32+IF(MOD(AH32*0.03,10)&gt;=1,AH32*0.03-MOD(AH32*0.03,10)+10,AH32*0.03-MOD(AH32*0.03,10))</f>
        <v>18520</v>
      </c>
      <c r="AJ32" s="69">
        <f t="shared" si="59"/>
        <v>0</v>
      </c>
      <c r="AK32" s="59">
        <f t="shared" si="14"/>
        <v>0</v>
      </c>
      <c r="AL32" s="58">
        <f t="shared" si="22"/>
        <v>0</v>
      </c>
      <c r="AM32" s="69">
        <f t="shared" si="23"/>
        <v>17450</v>
      </c>
    </row>
    <row r="33" spans="1:39" s="70" customFormat="1" ht="15" customHeight="1" x14ac:dyDescent="0.25">
      <c r="A33" s="83">
        <v>40452</v>
      </c>
      <c r="B33" s="84">
        <v>0.27</v>
      </c>
      <c r="C33" s="85">
        <f t="shared" si="15"/>
        <v>17450</v>
      </c>
      <c r="D33" s="86">
        <f t="shared" si="0"/>
        <v>4712</v>
      </c>
      <c r="E33" s="86">
        <f t="shared" si="1"/>
        <v>2617.5</v>
      </c>
      <c r="F33" s="86">
        <f t="shared" si="36"/>
        <v>300</v>
      </c>
      <c r="G33" s="86"/>
      <c r="H33" s="86">
        <f t="shared" si="16"/>
        <v>25079.5</v>
      </c>
      <c r="I33" s="87">
        <f t="shared" si="3"/>
        <v>150</v>
      </c>
      <c r="J33" s="86"/>
      <c r="K33" s="86"/>
      <c r="L33" s="88">
        <f t="shared" si="4"/>
        <v>24929.5</v>
      </c>
      <c r="M33" s="88"/>
      <c r="N33" s="88">
        <f t="shared" si="17"/>
        <v>3141</v>
      </c>
      <c r="O33" s="95">
        <f>O32+IF(MOD(O32*0.03,10)&gt;=1,O32*0.03-MOD(O32*0.03,10)+10,O32*0.03-MOD(O32*0.03,10))</f>
        <v>24210</v>
      </c>
      <c r="P33" s="83">
        <v>40452</v>
      </c>
      <c r="Q33" s="84">
        <f>Q32</f>
        <v>0.45</v>
      </c>
      <c r="R33" s="86">
        <f t="shared" si="5"/>
        <v>17450</v>
      </c>
      <c r="S33" s="87">
        <f t="shared" si="6"/>
        <v>7853</v>
      </c>
      <c r="T33" s="86">
        <f t="shared" si="37"/>
        <v>2618</v>
      </c>
      <c r="U33" s="86">
        <f t="shared" si="39"/>
        <v>300</v>
      </c>
      <c r="V33" s="86"/>
      <c r="W33" s="86">
        <f t="shared" si="8"/>
        <v>28221</v>
      </c>
      <c r="X33" s="87">
        <f t="shared" si="9"/>
        <v>150</v>
      </c>
      <c r="Y33" s="86"/>
      <c r="Z33" s="86"/>
      <c r="AA33" s="88">
        <f t="shared" si="10"/>
        <v>28071</v>
      </c>
      <c r="AB33" s="67"/>
      <c r="AC33" s="68" t="str">
        <f t="shared" si="11"/>
        <v>Oct-2010</v>
      </c>
      <c r="AD33" s="59">
        <f t="shared" si="57"/>
        <v>17450</v>
      </c>
      <c r="AE33" s="56">
        <f>IF(Arrear!$C$7="Y",AF33,IF(Arrear!$C$6="Y",AF33,0))</f>
        <v>17450</v>
      </c>
      <c r="AF33" s="58">
        <f t="shared" si="19"/>
        <v>17450</v>
      </c>
      <c r="AG33" s="58">
        <f t="shared" si="20"/>
        <v>17450</v>
      </c>
      <c r="AH33" s="58">
        <f t="shared" si="25"/>
        <v>17980</v>
      </c>
      <c r="AI33" s="58">
        <f t="shared" ref="AI33" si="61">AH33+IF(MOD(AH33*0.03,10)&gt;=1,AH33*0.03-MOD(AH33*0.03,10)+10,AH33*0.03-MOD(AH33*0.03,10))</f>
        <v>18520</v>
      </c>
      <c r="AJ33" s="69">
        <f t="shared" si="59"/>
        <v>0</v>
      </c>
      <c r="AK33" s="59">
        <f t="shared" si="14"/>
        <v>0</v>
      </c>
      <c r="AL33" s="58">
        <f t="shared" si="22"/>
        <v>0</v>
      </c>
      <c r="AM33" s="69">
        <f t="shared" si="23"/>
        <v>17450</v>
      </c>
    </row>
    <row r="34" spans="1:39" s="70" customFormat="1" ht="15" customHeight="1" x14ac:dyDescent="0.25">
      <c r="A34" s="83">
        <v>40483</v>
      </c>
      <c r="B34" s="84">
        <v>0.27</v>
      </c>
      <c r="C34" s="85">
        <f t="shared" si="15"/>
        <v>17450</v>
      </c>
      <c r="D34" s="86">
        <f t="shared" si="0"/>
        <v>4712</v>
      </c>
      <c r="E34" s="86">
        <f t="shared" si="1"/>
        <v>2617.5</v>
      </c>
      <c r="F34" s="86">
        <f t="shared" si="36"/>
        <v>300</v>
      </c>
      <c r="G34" s="86"/>
      <c r="H34" s="86">
        <f t="shared" si="16"/>
        <v>25079.5</v>
      </c>
      <c r="I34" s="87">
        <f t="shared" si="3"/>
        <v>150</v>
      </c>
      <c r="J34" s="86"/>
      <c r="K34" s="86"/>
      <c r="L34" s="88">
        <f t="shared" si="4"/>
        <v>24929.5</v>
      </c>
      <c r="M34" s="88"/>
      <c r="N34" s="88">
        <f t="shared" si="17"/>
        <v>3141</v>
      </c>
      <c r="O34" s="100">
        <f>ROUND(O32/(O21+O22)*O22,0)+ROUND(O33/(O21+O22)*O21,0)</f>
        <v>23981</v>
      </c>
      <c r="P34" s="83">
        <v>40483</v>
      </c>
      <c r="Q34" s="84">
        <f>Q33</f>
        <v>0.45</v>
      </c>
      <c r="R34" s="86">
        <f t="shared" si="5"/>
        <v>17450</v>
      </c>
      <c r="S34" s="87">
        <f t="shared" si="6"/>
        <v>7853</v>
      </c>
      <c r="T34" s="86">
        <f t="shared" si="37"/>
        <v>2618</v>
      </c>
      <c r="U34" s="86">
        <f t="shared" si="39"/>
        <v>300</v>
      </c>
      <c r="V34" s="86"/>
      <c r="W34" s="86">
        <f t="shared" si="8"/>
        <v>28221</v>
      </c>
      <c r="X34" s="87">
        <f t="shared" si="9"/>
        <v>150</v>
      </c>
      <c r="Y34" s="86"/>
      <c r="Z34" s="86"/>
      <c r="AA34" s="88">
        <f t="shared" si="10"/>
        <v>28071</v>
      </c>
      <c r="AB34" s="67"/>
      <c r="AC34" s="68" t="str">
        <f t="shared" si="11"/>
        <v>Nov-2010</v>
      </c>
      <c r="AD34" s="59">
        <f t="shared" si="57"/>
        <v>17450</v>
      </c>
      <c r="AE34" s="56">
        <f>IF(Arrear!$C$7="Y",AF34,IF(Arrear!$C$6="Y",AF34,0))</f>
        <v>17450</v>
      </c>
      <c r="AF34" s="58">
        <f t="shared" si="19"/>
        <v>17450</v>
      </c>
      <c r="AG34" s="58">
        <f t="shared" si="20"/>
        <v>17450</v>
      </c>
      <c r="AH34" s="58">
        <f t="shared" si="25"/>
        <v>17980</v>
      </c>
      <c r="AI34" s="58">
        <f t="shared" ref="AI34" si="62">AH34+IF(MOD(AH34*0.03,10)&gt;=1,AH34*0.03-MOD(AH34*0.03,10)+10,AH34*0.03-MOD(AH34*0.03,10))</f>
        <v>18520</v>
      </c>
      <c r="AJ34" s="69">
        <f t="shared" si="59"/>
        <v>0</v>
      </c>
      <c r="AK34" s="59">
        <f t="shared" si="14"/>
        <v>0</v>
      </c>
      <c r="AL34" s="58">
        <f t="shared" si="22"/>
        <v>0</v>
      </c>
      <c r="AM34" s="69">
        <f t="shared" si="23"/>
        <v>17450</v>
      </c>
    </row>
    <row r="35" spans="1:39" s="70" customFormat="1" ht="15" customHeight="1" x14ac:dyDescent="0.25">
      <c r="A35" s="83">
        <v>40513</v>
      </c>
      <c r="B35" s="84">
        <v>0.35</v>
      </c>
      <c r="C35" s="85">
        <f t="shared" si="15"/>
        <v>17450</v>
      </c>
      <c r="D35" s="86">
        <f t="shared" ref="D35:D66" si="63">ROUND(C35*B35,0)</f>
        <v>6108</v>
      </c>
      <c r="E35" s="86">
        <f t="shared" ref="E35:E66" si="64">C35*0.15</f>
        <v>2617.5</v>
      </c>
      <c r="F35" s="86">
        <f t="shared" si="36"/>
        <v>300</v>
      </c>
      <c r="G35" s="86"/>
      <c r="H35" s="86">
        <f t="shared" si="16"/>
        <v>26475.5</v>
      </c>
      <c r="I35" s="87">
        <f t="shared" ref="I35:I66" si="65">IF(H35&gt;40000,200,IF(H35&gt;25000,150,IF(H35&gt;15000,130,IF(H35&gt;9000,110,IF(H35&gt;8000,90,IF(H35&gt;7000,50,IF(H35&gt;6000,45,IF(H35&gt;5000,40,0))))))))</f>
        <v>150</v>
      </c>
      <c r="J35" s="86"/>
      <c r="K35" s="86"/>
      <c r="L35" s="88">
        <f t="shared" si="4"/>
        <v>26325.5</v>
      </c>
      <c r="M35" s="88"/>
      <c r="N35" s="88">
        <f t="shared" si="17"/>
        <v>1745</v>
      </c>
      <c r="O35" s="85" t="str">
        <f>TEXT(O31,"mmm-yyy")</f>
        <v>Oct-2027</v>
      </c>
      <c r="P35" s="83">
        <v>40513</v>
      </c>
      <c r="Q35" s="84">
        <f>Q34</f>
        <v>0.45</v>
      </c>
      <c r="R35" s="86">
        <f t="shared" ref="R35:R66" si="66">C35</f>
        <v>17450</v>
      </c>
      <c r="S35" s="87">
        <f t="shared" ref="S35:S66" si="67">ROUND(R35*Q35,0)</f>
        <v>7853</v>
      </c>
      <c r="T35" s="86">
        <f t="shared" si="37"/>
        <v>2618</v>
      </c>
      <c r="U35" s="86">
        <f t="shared" si="39"/>
        <v>300</v>
      </c>
      <c r="V35" s="86"/>
      <c r="W35" s="86">
        <f t="shared" ref="W35:W66" si="68">SUM(R35:U35)</f>
        <v>28221</v>
      </c>
      <c r="X35" s="87">
        <f t="shared" ref="X35:X66" si="69">IF(W35&gt;40000,200,IF(W35&gt;25000,150,IF(W35&gt;15000,130,IF(W35&gt;9000,110,IF(W35&gt;8000,90,IF(W35&gt;7000,50,IF(W35&gt;6000,45,IF(W35&gt;5000,40,0))))))))</f>
        <v>150</v>
      </c>
      <c r="Y35" s="86"/>
      <c r="Z35" s="86"/>
      <c r="AA35" s="88">
        <f t="shared" ref="AA35:AA66" si="70">(W35-SUM(X35:Z35))</f>
        <v>28071</v>
      </c>
      <c r="AB35" s="67"/>
      <c r="AC35" s="68" t="str">
        <f t="shared" ref="AC35:AC66" si="71">TEXT(A35,"mmm-yyy")</f>
        <v>Dec-2010</v>
      </c>
      <c r="AD35" s="59">
        <f t="shared" si="57"/>
        <v>17450</v>
      </c>
      <c r="AE35" s="56">
        <f>IF(Arrear!$C$7="Y",AF35,IF(Arrear!$C$6="Y",AF35,0))</f>
        <v>17450</v>
      </c>
      <c r="AF35" s="58">
        <f t="shared" si="19"/>
        <v>17450</v>
      </c>
      <c r="AG35" s="58">
        <f t="shared" si="20"/>
        <v>17450</v>
      </c>
      <c r="AH35" s="58">
        <f t="shared" si="25"/>
        <v>17980</v>
      </c>
      <c r="AI35" s="58">
        <f t="shared" ref="AI35" si="72">AH35+IF(MOD(AH35*0.03,10)&gt;=1,AH35*0.03-MOD(AH35*0.03,10)+10,AH35*0.03-MOD(AH35*0.03,10))</f>
        <v>18520</v>
      </c>
      <c r="AJ35" s="69">
        <f t="shared" si="59"/>
        <v>0</v>
      </c>
      <c r="AK35" s="59">
        <f t="shared" si="14"/>
        <v>0</v>
      </c>
      <c r="AL35" s="58">
        <f t="shared" si="22"/>
        <v>0</v>
      </c>
      <c r="AM35" s="69">
        <f t="shared" si="23"/>
        <v>17450</v>
      </c>
    </row>
    <row r="36" spans="1:39" s="70" customFormat="1" ht="15" customHeight="1" x14ac:dyDescent="0.25">
      <c r="A36" s="83">
        <v>40544</v>
      </c>
      <c r="B36" s="84">
        <v>0.35</v>
      </c>
      <c r="C36" s="85">
        <f t="shared" si="15"/>
        <v>17450</v>
      </c>
      <c r="D36" s="86">
        <f t="shared" si="63"/>
        <v>6108</v>
      </c>
      <c r="E36" s="86">
        <f t="shared" si="64"/>
        <v>2617.5</v>
      </c>
      <c r="F36" s="86">
        <f t="shared" si="36"/>
        <v>300</v>
      </c>
      <c r="G36" s="86"/>
      <c r="H36" s="86">
        <f t="shared" si="16"/>
        <v>26475.5</v>
      </c>
      <c r="I36" s="87">
        <f t="shared" si="65"/>
        <v>150</v>
      </c>
      <c r="J36" s="86"/>
      <c r="K36" s="86"/>
      <c r="L36" s="88">
        <f t="shared" si="4"/>
        <v>26325.5</v>
      </c>
      <c r="M36" s="88"/>
      <c r="N36" s="88">
        <f t="shared" si="17"/>
        <v>2792</v>
      </c>
      <c r="O36" s="85"/>
      <c r="P36" s="83">
        <v>40544</v>
      </c>
      <c r="Q36" s="84">
        <v>0.51</v>
      </c>
      <c r="R36" s="86">
        <f t="shared" si="66"/>
        <v>17450</v>
      </c>
      <c r="S36" s="87">
        <f t="shared" si="67"/>
        <v>8900</v>
      </c>
      <c r="T36" s="86">
        <f t="shared" si="37"/>
        <v>2618</v>
      </c>
      <c r="U36" s="86">
        <f t="shared" si="39"/>
        <v>300</v>
      </c>
      <c r="V36" s="86"/>
      <c r="W36" s="86">
        <f t="shared" si="68"/>
        <v>29268</v>
      </c>
      <c r="X36" s="87">
        <f t="shared" si="69"/>
        <v>150</v>
      </c>
      <c r="Y36" s="86"/>
      <c r="Z36" s="86"/>
      <c r="AA36" s="88">
        <f t="shared" si="70"/>
        <v>29118</v>
      </c>
      <c r="AB36" s="67"/>
      <c r="AC36" s="68" t="str">
        <f t="shared" si="71"/>
        <v>Jan-2011</v>
      </c>
      <c r="AD36" s="59">
        <f t="shared" si="57"/>
        <v>17450</v>
      </c>
      <c r="AE36" s="56">
        <f>IF(Arrear!$C$7="Y",AF36,IF(Arrear!$C$6="Y",AF36,0))</f>
        <v>17450</v>
      </c>
      <c r="AF36" s="58">
        <f t="shared" ref="AF36:AF67" si="73">IF(TEXT(A36,"mmm-yyy")=$O$19,$O$18,IF(EOMONTH($O$15,0)+1=A36,$O$17,IF(TEXT(A36,"mmm")&lt;&gt;"Jul",AF35,IF(TEXT(A36,"mmm")="Jul",AH35,AF35))))</f>
        <v>17450</v>
      </c>
      <c r="AG36" s="58">
        <f t="shared" ref="AG36:AG67" si="74">IF(TEXT(A36,"mmm-yyy")=$O$35,$O$34,IF(EOMONTH($O$31,0)+1=A36,$O$33,IF(TEXT(A36,"mmm")&lt;&gt;"Jul",AG35,IF(TEXT(A36,"mmm")="Jul",AH35,AG35))))</f>
        <v>17450</v>
      </c>
      <c r="AH36" s="58">
        <f t="shared" ref="AH36:AH67" si="75">AF36+IF(MOD(AF36*0.03,10)&gt;=1,AF36*0.03-MOD(AF36*0.03,10)+10,AF36*0.03-MOD(AF36*0.03,10))</f>
        <v>17980</v>
      </c>
      <c r="AI36" s="58">
        <f t="shared" ref="AI36" si="76">AH36+IF(MOD(AH36*0.03,10)&gt;=1,AH36*0.03-MOD(AH36*0.03,10)+10,AH36*0.03-MOD(AH36*0.03,10))</f>
        <v>18520</v>
      </c>
      <c r="AJ36" s="69">
        <f t="shared" si="59"/>
        <v>0</v>
      </c>
      <c r="AK36" s="59">
        <f t="shared" si="14"/>
        <v>0</v>
      </c>
      <c r="AL36" s="58">
        <f t="shared" si="22"/>
        <v>0</v>
      </c>
      <c r="AM36" s="69">
        <f t="shared" si="23"/>
        <v>17450</v>
      </c>
    </row>
    <row r="37" spans="1:39" s="70" customFormat="1" ht="15" customHeight="1" x14ac:dyDescent="0.25">
      <c r="A37" s="83">
        <v>40575</v>
      </c>
      <c r="B37" s="84">
        <v>0.35</v>
      </c>
      <c r="C37" s="85">
        <f t="shared" si="15"/>
        <v>17450</v>
      </c>
      <c r="D37" s="86">
        <f t="shared" si="63"/>
        <v>6108</v>
      </c>
      <c r="E37" s="86">
        <f t="shared" si="64"/>
        <v>2617.5</v>
      </c>
      <c r="F37" s="86">
        <f t="shared" si="36"/>
        <v>300</v>
      </c>
      <c r="G37" s="86"/>
      <c r="H37" s="86">
        <f t="shared" si="16"/>
        <v>26475.5</v>
      </c>
      <c r="I37" s="87">
        <f t="shared" si="65"/>
        <v>150</v>
      </c>
      <c r="J37" s="86"/>
      <c r="K37" s="86"/>
      <c r="L37" s="88">
        <f t="shared" si="4"/>
        <v>26325.5</v>
      </c>
      <c r="M37" s="88"/>
      <c r="N37" s="88">
        <f t="shared" si="17"/>
        <v>2792</v>
      </c>
      <c r="O37" s="85"/>
      <c r="P37" s="83">
        <v>40575</v>
      </c>
      <c r="Q37" s="84">
        <f>Q36</f>
        <v>0.51</v>
      </c>
      <c r="R37" s="86">
        <f t="shared" si="66"/>
        <v>17450</v>
      </c>
      <c r="S37" s="87">
        <f t="shared" si="67"/>
        <v>8900</v>
      </c>
      <c r="T37" s="86">
        <f t="shared" si="37"/>
        <v>2618</v>
      </c>
      <c r="U37" s="86">
        <f t="shared" si="39"/>
        <v>300</v>
      </c>
      <c r="V37" s="86"/>
      <c r="W37" s="86">
        <f t="shared" si="68"/>
        <v>29268</v>
      </c>
      <c r="X37" s="87">
        <f t="shared" si="69"/>
        <v>150</v>
      </c>
      <c r="Y37" s="86"/>
      <c r="Z37" s="86"/>
      <c r="AA37" s="88">
        <f t="shared" si="70"/>
        <v>29118</v>
      </c>
      <c r="AB37" s="67"/>
      <c r="AC37" s="68" t="str">
        <f t="shared" si="71"/>
        <v>Feb-2011</v>
      </c>
      <c r="AD37" s="59">
        <f t="shared" si="57"/>
        <v>17450</v>
      </c>
      <c r="AE37" s="56">
        <f>IF(Arrear!$C$7="Y",AF37,IF(Arrear!$C$6="Y",AF37,0))</f>
        <v>17450</v>
      </c>
      <c r="AF37" s="58">
        <f t="shared" si="73"/>
        <v>17450</v>
      </c>
      <c r="AG37" s="58">
        <f t="shared" si="74"/>
        <v>17450</v>
      </c>
      <c r="AH37" s="58">
        <f t="shared" si="75"/>
        <v>17980</v>
      </c>
      <c r="AI37" s="58">
        <f t="shared" ref="AI37" si="77">AH37+IF(MOD(AH37*0.03,10)&gt;=1,AH37*0.03-MOD(AH37*0.03,10)+10,AH37*0.03-MOD(AH37*0.03,10))</f>
        <v>18520</v>
      </c>
      <c r="AJ37" s="69">
        <f t="shared" si="59"/>
        <v>0</v>
      </c>
      <c r="AK37" s="59">
        <f t="shared" si="14"/>
        <v>0</v>
      </c>
      <c r="AL37" s="58">
        <f t="shared" si="22"/>
        <v>0</v>
      </c>
      <c r="AM37" s="69">
        <f t="shared" si="23"/>
        <v>17450</v>
      </c>
    </row>
    <row r="38" spans="1:39" s="70" customFormat="1" ht="15" customHeight="1" x14ac:dyDescent="0.25">
      <c r="A38" s="83">
        <v>40603</v>
      </c>
      <c r="B38" s="84">
        <v>0.35</v>
      </c>
      <c r="C38" s="85">
        <f t="shared" si="15"/>
        <v>17450</v>
      </c>
      <c r="D38" s="86">
        <f t="shared" si="63"/>
        <v>6108</v>
      </c>
      <c r="E38" s="86">
        <f t="shared" si="64"/>
        <v>2617.5</v>
      </c>
      <c r="F38" s="86">
        <f t="shared" si="36"/>
        <v>300</v>
      </c>
      <c r="G38" s="86"/>
      <c r="H38" s="86">
        <f t="shared" si="16"/>
        <v>26475.5</v>
      </c>
      <c r="I38" s="87">
        <f t="shared" si="65"/>
        <v>150</v>
      </c>
      <c r="J38" s="86"/>
      <c r="K38" s="86"/>
      <c r="L38" s="88">
        <f t="shared" si="4"/>
        <v>26325.5</v>
      </c>
      <c r="M38" s="88"/>
      <c r="N38" s="88">
        <f t="shared" si="17"/>
        <v>2792</v>
      </c>
      <c r="O38" s="85"/>
      <c r="P38" s="83">
        <v>40603</v>
      </c>
      <c r="Q38" s="84">
        <f>Q37</f>
        <v>0.51</v>
      </c>
      <c r="R38" s="86">
        <f t="shared" si="66"/>
        <v>17450</v>
      </c>
      <c r="S38" s="87">
        <f t="shared" si="67"/>
        <v>8900</v>
      </c>
      <c r="T38" s="86">
        <f t="shared" si="37"/>
        <v>2618</v>
      </c>
      <c r="U38" s="86">
        <f t="shared" si="39"/>
        <v>300</v>
      </c>
      <c r="V38" s="86"/>
      <c r="W38" s="86">
        <f t="shared" si="68"/>
        <v>29268</v>
      </c>
      <c r="X38" s="87">
        <f t="shared" si="69"/>
        <v>150</v>
      </c>
      <c r="Y38" s="86"/>
      <c r="Z38" s="86"/>
      <c r="AA38" s="88">
        <f t="shared" si="70"/>
        <v>29118</v>
      </c>
      <c r="AB38" s="67"/>
      <c r="AC38" s="68" t="str">
        <f t="shared" si="71"/>
        <v>Mar-2011</v>
      </c>
      <c r="AD38" s="59">
        <f t="shared" si="57"/>
        <v>17450</v>
      </c>
      <c r="AE38" s="56">
        <f>IF(Arrear!$C$7="Y",AF38,IF(Arrear!$C$6="Y",AF38,0))</f>
        <v>17450</v>
      </c>
      <c r="AF38" s="58">
        <f t="shared" si="73"/>
        <v>17450</v>
      </c>
      <c r="AG38" s="58">
        <f t="shared" si="74"/>
        <v>17450</v>
      </c>
      <c r="AH38" s="58">
        <f t="shared" si="75"/>
        <v>17980</v>
      </c>
      <c r="AI38" s="58">
        <f t="shared" ref="AI38" si="78">AH38+IF(MOD(AH38*0.03,10)&gt;=1,AH38*0.03-MOD(AH38*0.03,10)+10,AH38*0.03-MOD(AH38*0.03,10))</f>
        <v>18520</v>
      </c>
      <c r="AJ38" s="69">
        <f t="shared" si="59"/>
        <v>0</v>
      </c>
      <c r="AK38" s="59">
        <f t="shared" si="14"/>
        <v>0</v>
      </c>
      <c r="AL38" s="58">
        <f t="shared" si="22"/>
        <v>0</v>
      </c>
      <c r="AM38" s="69">
        <f t="shared" si="23"/>
        <v>17450</v>
      </c>
    </row>
    <row r="39" spans="1:39" s="70" customFormat="1" ht="15" customHeight="1" x14ac:dyDescent="0.25">
      <c r="A39" s="83">
        <v>40634</v>
      </c>
      <c r="B39" s="84">
        <v>0.35</v>
      </c>
      <c r="C39" s="85">
        <f t="shared" si="15"/>
        <v>17450</v>
      </c>
      <c r="D39" s="86">
        <f t="shared" si="63"/>
        <v>6108</v>
      </c>
      <c r="E39" s="86">
        <f t="shared" si="64"/>
        <v>2617.5</v>
      </c>
      <c r="F39" s="86">
        <f t="shared" si="36"/>
        <v>300</v>
      </c>
      <c r="G39" s="86"/>
      <c r="H39" s="86">
        <f t="shared" si="16"/>
        <v>26475.5</v>
      </c>
      <c r="I39" s="87">
        <f t="shared" si="65"/>
        <v>150</v>
      </c>
      <c r="J39" s="86"/>
      <c r="K39" s="86"/>
      <c r="L39" s="88">
        <f t="shared" si="4"/>
        <v>26325.5</v>
      </c>
      <c r="M39" s="88"/>
      <c r="N39" s="88">
        <f t="shared" si="17"/>
        <v>2792</v>
      </c>
      <c r="O39" s="85"/>
      <c r="P39" s="83">
        <v>40634</v>
      </c>
      <c r="Q39" s="84">
        <f>Q38</f>
        <v>0.51</v>
      </c>
      <c r="R39" s="86">
        <f t="shared" si="66"/>
        <v>17450</v>
      </c>
      <c r="S39" s="87">
        <f t="shared" si="67"/>
        <v>8900</v>
      </c>
      <c r="T39" s="86">
        <f t="shared" si="37"/>
        <v>2618</v>
      </c>
      <c r="U39" s="86">
        <f t="shared" si="39"/>
        <v>300</v>
      </c>
      <c r="V39" s="86"/>
      <c r="W39" s="86">
        <f t="shared" si="68"/>
        <v>29268</v>
      </c>
      <c r="X39" s="87">
        <f t="shared" si="69"/>
        <v>150</v>
      </c>
      <c r="Y39" s="86"/>
      <c r="Z39" s="86"/>
      <c r="AA39" s="88">
        <f t="shared" si="70"/>
        <v>29118</v>
      </c>
      <c r="AB39" s="67"/>
      <c r="AC39" s="68" t="str">
        <f t="shared" si="71"/>
        <v>Apr-2011</v>
      </c>
      <c r="AD39" s="59">
        <f t="shared" si="57"/>
        <v>17450</v>
      </c>
      <c r="AE39" s="56">
        <f>IF(Arrear!$C$7="Y",AF39,IF(Arrear!$C$6="Y",AF39,0))</f>
        <v>17450</v>
      </c>
      <c r="AF39" s="58">
        <f t="shared" si="73"/>
        <v>17450</v>
      </c>
      <c r="AG39" s="58">
        <f t="shared" si="74"/>
        <v>17450</v>
      </c>
      <c r="AH39" s="58">
        <f t="shared" si="75"/>
        <v>17980</v>
      </c>
      <c r="AI39" s="58">
        <f t="shared" ref="AI39" si="79">AH39+IF(MOD(AH39*0.03,10)&gt;=1,AH39*0.03-MOD(AH39*0.03,10)+10,AH39*0.03-MOD(AH39*0.03,10))</f>
        <v>18520</v>
      </c>
      <c r="AJ39" s="69">
        <f t="shared" si="59"/>
        <v>0</v>
      </c>
      <c r="AK39" s="59">
        <f t="shared" si="14"/>
        <v>0</v>
      </c>
      <c r="AL39" s="58">
        <f t="shared" si="22"/>
        <v>0</v>
      </c>
      <c r="AM39" s="69">
        <f t="shared" si="23"/>
        <v>17450</v>
      </c>
    </row>
    <row r="40" spans="1:39" s="70" customFormat="1" ht="15" customHeight="1" x14ac:dyDescent="0.25">
      <c r="A40" s="83">
        <v>40664</v>
      </c>
      <c r="B40" s="84">
        <v>0.35</v>
      </c>
      <c r="C40" s="85">
        <f t="shared" si="15"/>
        <v>17450</v>
      </c>
      <c r="D40" s="86">
        <f t="shared" si="63"/>
        <v>6108</v>
      </c>
      <c r="E40" s="86">
        <f t="shared" si="64"/>
        <v>2617.5</v>
      </c>
      <c r="F40" s="86">
        <f t="shared" si="36"/>
        <v>300</v>
      </c>
      <c r="G40" s="86"/>
      <c r="H40" s="86">
        <f t="shared" si="16"/>
        <v>26475.5</v>
      </c>
      <c r="I40" s="87">
        <f t="shared" si="65"/>
        <v>150</v>
      </c>
      <c r="J40" s="86"/>
      <c r="K40" s="86"/>
      <c r="L40" s="88">
        <f t="shared" si="4"/>
        <v>26325.5</v>
      </c>
      <c r="M40" s="88"/>
      <c r="N40" s="88">
        <f t="shared" si="17"/>
        <v>2792</v>
      </c>
      <c r="O40" s="85"/>
      <c r="P40" s="83">
        <v>40664</v>
      </c>
      <c r="Q40" s="84">
        <f>Q39</f>
        <v>0.51</v>
      </c>
      <c r="R40" s="86">
        <f t="shared" si="66"/>
        <v>17450</v>
      </c>
      <c r="S40" s="87">
        <f t="shared" si="67"/>
        <v>8900</v>
      </c>
      <c r="T40" s="86">
        <f t="shared" si="37"/>
        <v>2618</v>
      </c>
      <c r="U40" s="86">
        <f t="shared" si="39"/>
        <v>300</v>
      </c>
      <c r="V40" s="86"/>
      <c r="W40" s="86">
        <f t="shared" si="68"/>
        <v>29268</v>
      </c>
      <c r="X40" s="87">
        <f t="shared" si="69"/>
        <v>150</v>
      </c>
      <c r="Y40" s="86"/>
      <c r="Z40" s="86"/>
      <c r="AA40" s="88">
        <f t="shared" si="70"/>
        <v>29118</v>
      </c>
      <c r="AB40" s="67"/>
      <c r="AC40" s="68" t="str">
        <f t="shared" si="71"/>
        <v>May-2011</v>
      </c>
      <c r="AD40" s="59">
        <f t="shared" si="57"/>
        <v>17450</v>
      </c>
      <c r="AE40" s="56">
        <f>IF(Arrear!$C$7="Y",AF40,IF(Arrear!$C$6="Y",AF40,0))</f>
        <v>17450</v>
      </c>
      <c r="AF40" s="58">
        <f t="shared" si="73"/>
        <v>17450</v>
      </c>
      <c r="AG40" s="58">
        <f t="shared" si="74"/>
        <v>17450</v>
      </c>
      <c r="AH40" s="58">
        <f t="shared" si="75"/>
        <v>17980</v>
      </c>
      <c r="AI40" s="58">
        <f t="shared" ref="AI40" si="80">AH40+IF(MOD(AH40*0.03,10)&gt;=1,AH40*0.03-MOD(AH40*0.03,10)+10,AH40*0.03-MOD(AH40*0.03,10))</f>
        <v>18520</v>
      </c>
      <c r="AJ40" s="69">
        <f t="shared" si="59"/>
        <v>0</v>
      </c>
      <c r="AK40" s="59">
        <f t="shared" si="14"/>
        <v>0</v>
      </c>
      <c r="AL40" s="58">
        <f t="shared" si="22"/>
        <v>0</v>
      </c>
      <c r="AM40" s="69">
        <f t="shared" si="23"/>
        <v>17450</v>
      </c>
    </row>
    <row r="41" spans="1:39" s="70" customFormat="1" ht="15" customHeight="1" x14ac:dyDescent="0.25">
      <c r="A41" s="83">
        <v>40695</v>
      </c>
      <c r="B41" s="84">
        <v>0.35</v>
      </c>
      <c r="C41" s="85">
        <f t="shared" si="15"/>
        <v>17450</v>
      </c>
      <c r="D41" s="86">
        <f t="shared" si="63"/>
        <v>6108</v>
      </c>
      <c r="E41" s="86">
        <f t="shared" si="64"/>
        <v>2617.5</v>
      </c>
      <c r="F41" s="86">
        <f t="shared" si="36"/>
        <v>300</v>
      </c>
      <c r="G41" s="86"/>
      <c r="H41" s="86">
        <f t="shared" si="16"/>
        <v>26475.5</v>
      </c>
      <c r="I41" s="87">
        <f t="shared" si="65"/>
        <v>150</v>
      </c>
      <c r="J41" s="86"/>
      <c r="K41" s="86"/>
      <c r="L41" s="88">
        <f t="shared" si="4"/>
        <v>26325.5</v>
      </c>
      <c r="M41" s="88"/>
      <c r="N41" s="88">
        <f t="shared" si="17"/>
        <v>2792</v>
      </c>
      <c r="O41" s="85"/>
      <c r="P41" s="83">
        <v>40695</v>
      </c>
      <c r="Q41" s="84">
        <f>Q40</f>
        <v>0.51</v>
      </c>
      <c r="R41" s="86">
        <f t="shared" si="66"/>
        <v>17450</v>
      </c>
      <c r="S41" s="87">
        <f t="shared" si="67"/>
        <v>8900</v>
      </c>
      <c r="T41" s="86">
        <f t="shared" si="37"/>
        <v>2618</v>
      </c>
      <c r="U41" s="86">
        <f t="shared" si="39"/>
        <v>300</v>
      </c>
      <c r="V41" s="86"/>
      <c r="W41" s="86">
        <f t="shared" si="68"/>
        <v>29268</v>
      </c>
      <c r="X41" s="87">
        <f t="shared" si="69"/>
        <v>150</v>
      </c>
      <c r="Y41" s="86"/>
      <c r="Z41" s="86"/>
      <c r="AA41" s="88">
        <f t="shared" si="70"/>
        <v>29118</v>
      </c>
      <c r="AB41" s="67"/>
      <c r="AC41" s="68" t="str">
        <f t="shared" si="71"/>
        <v>Jun-2011</v>
      </c>
      <c r="AD41" s="59">
        <f t="shared" si="57"/>
        <v>17450</v>
      </c>
      <c r="AE41" s="56">
        <f>IF(Arrear!$C$7="Y",AF41,IF(Arrear!$C$6="Y",AF41,0))</f>
        <v>17450</v>
      </c>
      <c r="AF41" s="58">
        <f t="shared" si="73"/>
        <v>17450</v>
      </c>
      <c r="AG41" s="58">
        <f t="shared" si="74"/>
        <v>17450</v>
      </c>
      <c r="AH41" s="58">
        <f t="shared" si="75"/>
        <v>17980</v>
      </c>
      <c r="AI41" s="58">
        <f t="shared" ref="AI41" si="81">AH41+IF(MOD(AH41*0.03,10)&gt;=1,AH41*0.03-MOD(AH41*0.03,10)+10,AH41*0.03-MOD(AH41*0.03,10))</f>
        <v>18520</v>
      </c>
      <c r="AJ41" s="69">
        <f t="shared" si="59"/>
        <v>0</v>
      </c>
      <c r="AK41" s="59">
        <f t="shared" si="14"/>
        <v>0</v>
      </c>
      <c r="AL41" s="58">
        <f t="shared" si="22"/>
        <v>0</v>
      </c>
      <c r="AM41" s="69">
        <f t="shared" si="23"/>
        <v>17450</v>
      </c>
    </row>
    <row r="42" spans="1:39" s="70" customFormat="1" ht="15" customHeight="1" x14ac:dyDescent="0.25">
      <c r="A42" s="83">
        <v>40725</v>
      </c>
      <c r="B42" s="84">
        <v>0.35</v>
      </c>
      <c r="C42" s="85">
        <f t="shared" si="15"/>
        <v>17980</v>
      </c>
      <c r="D42" s="86">
        <f t="shared" si="63"/>
        <v>6293</v>
      </c>
      <c r="E42" s="86">
        <f t="shared" si="64"/>
        <v>2697</v>
      </c>
      <c r="F42" s="86">
        <f t="shared" si="36"/>
        <v>300</v>
      </c>
      <c r="G42" s="86"/>
      <c r="H42" s="86">
        <f t="shared" si="16"/>
        <v>27270</v>
      </c>
      <c r="I42" s="87">
        <f t="shared" si="65"/>
        <v>150</v>
      </c>
      <c r="J42" s="86"/>
      <c r="K42" s="86"/>
      <c r="L42" s="88">
        <f t="shared" si="4"/>
        <v>27120</v>
      </c>
      <c r="M42" s="88"/>
      <c r="N42" s="88">
        <f t="shared" si="17"/>
        <v>4135</v>
      </c>
      <c r="O42" s="85"/>
      <c r="P42" s="83">
        <v>40725</v>
      </c>
      <c r="Q42" s="84">
        <v>0.57999999999999996</v>
      </c>
      <c r="R42" s="86">
        <f t="shared" si="66"/>
        <v>17980</v>
      </c>
      <c r="S42" s="87">
        <f t="shared" si="67"/>
        <v>10428</v>
      </c>
      <c r="T42" s="86">
        <f t="shared" si="37"/>
        <v>2697</v>
      </c>
      <c r="U42" s="86">
        <f t="shared" si="39"/>
        <v>300</v>
      </c>
      <c r="V42" s="86"/>
      <c r="W42" s="86">
        <f t="shared" si="68"/>
        <v>31405</v>
      </c>
      <c r="X42" s="87">
        <f t="shared" si="69"/>
        <v>150</v>
      </c>
      <c r="Y42" s="86"/>
      <c r="Z42" s="86"/>
      <c r="AA42" s="88">
        <f t="shared" si="70"/>
        <v>31255</v>
      </c>
      <c r="AB42" s="67"/>
      <c r="AC42" s="68" t="str">
        <f t="shared" si="71"/>
        <v>Jul-2011</v>
      </c>
      <c r="AD42" s="59">
        <f>AD30+IF(MOD(AD30*0.03,10)&gt;=1,AD30*0.03-MOD(AD30*0.03,10)+10,AD30*0.03-MOD(AD30*0.03,10))</f>
        <v>17980</v>
      </c>
      <c r="AE42" s="56">
        <f>IF(Arrear!$C$7="Y",AF42,IF(Arrear!$C$6="Y",AF42,0))</f>
        <v>17980</v>
      </c>
      <c r="AF42" s="58">
        <f t="shared" si="73"/>
        <v>17980</v>
      </c>
      <c r="AG42" s="58">
        <f t="shared" si="74"/>
        <v>17980</v>
      </c>
      <c r="AH42" s="58">
        <f t="shared" si="75"/>
        <v>18520</v>
      </c>
      <c r="AI42" s="58">
        <f t="shared" ref="AI42" si="82">AH42+IF(MOD(AH42*0.03,10)&gt;=1,AH42*0.03-MOD(AH42*0.03,10)+10,AH42*0.03-MOD(AH42*0.03,10))</f>
        <v>19080</v>
      </c>
      <c r="AJ42" s="69">
        <f>IF(TEXT($O$7,"mmm-yyy")=AC42,$M$2,AJ41+IF(MOD(AJ41*0.03,10)&gt;=1,AJ41*0.03-MOD(AJ41*0.03,10)+10,AJ41*0.03-MOD(AJ41*0.03,10)))</f>
        <v>0</v>
      </c>
      <c r="AK42" s="59">
        <f>IF(TEXT($O$7,"mmm-yyy")=AC42,(AJ42-(ROUND(AJ42/(DAY(EOMONTH(A42,0)))*(DAY($O$7)-1),0))),IF(AC41=TEXT($O$7,"mmm-yyy"),AJ42,IF(AK41=0,AJ42,IF(AND(TEXT(A42,"mmm")="Jul",TEXT(A42,"yyy")=TEXT(Arrear!$B$2,"yyy")),AK41,AL41))))</f>
        <v>0</v>
      </c>
      <c r="AL42" s="58">
        <f t="shared" si="22"/>
        <v>0</v>
      </c>
      <c r="AM42" s="69">
        <f t="shared" si="23"/>
        <v>17980</v>
      </c>
    </row>
    <row r="43" spans="1:39" s="70" customFormat="1" ht="15" customHeight="1" x14ac:dyDescent="0.25">
      <c r="A43" s="83">
        <v>40756</v>
      </c>
      <c r="B43" s="84">
        <v>0.35</v>
      </c>
      <c r="C43" s="85">
        <f t="shared" si="15"/>
        <v>17980</v>
      </c>
      <c r="D43" s="86">
        <f t="shared" si="63"/>
        <v>6293</v>
      </c>
      <c r="E43" s="86">
        <f t="shared" si="64"/>
        <v>2697</v>
      </c>
      <c r="F43" s="86">
        <f t="shared" si="36"/>
        <v>300</v>
      </c>
      <c r="G43" s="86"/>
      <c r="H43" s="86">
        <f t="shared" si="16"/>
        <v>27270</v>
      </c>
      <c r="I43" s="87">
        <f t="shared" si="65"/>
        <v>150</v>
      </c>
      <c r="J43" s="86"/>
      <c r="K43" s="85"/>
      <c r="L43" s="88">
        <f t="shared" si="4"/>
        <v>27120</v>
      </c>
      <c r="M43" s="88"/>
      <c r="N43" s="88">
        <f t="shared" si="17"/>
        <v>4135</v>
      </c>
      <c r="O43" s="85"/>
      <c r="P43" s="83">
        <v>40756</v>
      </c>
      <c r="Q43" s="84">
        <f>Q42</f>
        <v>0.57999999999999996</v>
      </c>
      <c r="R43" s="86">
        <f t="shared" si="66"/>
        <v>17980</v>
      </c>
      <c r="S43" s="87">
        <f t="shared" si="67"/>
        <v>10428</v>
      </c>
      <c r="T43" s="86">
        <f t="shared" si="37"/>
        <v>2697</v>
      </c>
      <c r="U43" s="86">
        <f t="shared" si="39"/>
        <v>300</v>
      </c>
      <c r="V43" s="86"/>
      <c r="W43" s="86">
        <f t="shared" si="68"/>
        <v>31405</v>
      </c>
      <c r="X43" s="87">
        <f t="shared" si="69"/>
        <v>150</v>
      </c>
      <c r="Y43" s="86"/>
      <c r="Z43" s="85"/>
      <c r="AA43" s="88">
        <f t="shared" si="70"/>
        <v>31255</v>
      </c>
      <c r="AB43" s="67"/>
      <c r="AC43" s="68" t="str">
        <f t="shared" si="71"/>
        <v>Aug-2011</v>
      </c>
      <c r="AD43" s="59">
        <f t="shared" ref="AD43:AD53" si="83">AD42</f>
        <v>17980</v>
      </c>
      <c r="AE43" s="56">
        <f>IF(Arrear!$C$7="Y",AF43,IF(Arrear!$C$6="Y",AF43,0))</f>
        <v>17980</v>
      </c>
      <c r="AF43" s="58">
        <f t="shared" si="73"/>
        <v>17980</v>
      </c>
      <c r="AG43" s="58">
        <f t="shared" si="74"/>
        <v>17980</v>
      </c>
      <c r="AH43" s="58">
        <f t="shared" si="75"/>
        <v>18520</v>
      </c>
      <c r="AI43" s="58">
        <f t="shared" ref="AI43" si="84">AH43+IF(MOD(AH43*0.03,10)&gt;=1,AH43*0.03-MOD(AH43*0.03,10)+10,AH43*0.03-MOD(AH43*0.03,10))</f>
        <v>19080</v>
      </c>
      <c r="AJ43" s="69">
        <f t="shared" ref="AJ43:AJ53" si="85">IF(TEXT($O$7,"mmm-yyy")=AC43,$M$2,AJ42)</f>
        <v>0</v>
      </c>
      <c r="AK43" s="59">
        <f t="shared" si="14"/>
        <v>0</v>
      </c>
      <c r="AL43" s="58">
        <f t="shared" si="22"/>
        <v>0</v>
      </c>
      <c r="AM43" s="69">
        <f t="shared" si="23"/>
        <v>17980</v>
      </c>
    </row>
    <row r="44" spans="1:39" s="70" customFormat="1" ht="15" customHeight="1" x14ac:dyDescent="0.25">
      <c r="A44" s="83">
        <v>40787</v>
      </c>
      <c r="B44" s="84">
        <v>0.35</v>
      </c>
      <c r="C44" s="85">
        <f t="shared" si="15"/>
        <v>17980</v>
      </c>
      <c r="D44" s="86">
        <f t="shared" si="63"/>
        <v>6293</v>
      </c>
      <c r="E44" s="86">
        <f t="shared" si="64"/>
        <v>2697</v>
      </c>
      <c r="F44" s="86">
        <f t="shared" si="36"/>
        <v>300</v>
      </c>
      <c r="G44" s="86"/>
      <c r="H44" s="86">
        <f t="shared" si="16"/>
        <v>27270</v>
      </c>
      <c r="I44" s="87">
        <f t="shared" si="65"/>
        <v>150</v>
      </c>
      <c r="J44" s="86"/>
      <c r="K44" s="86"/>
      <c r="L44" s="88">
        <f t="shared" si="4"/>
        <v>27120</v>
      </c>
      <c r="M44" s="88"/>
      <c r="N44" s="88">
        <f t="shared" si="17"/>
        <v>4135</v>
      </c>
      <c r="O44" s="85"/>
      <c r="P44" s="83">
        <v>40787</v>
      </c>
      <c r="Q44" s="84">
        <f>Q43</f>
        <v>0.57999999999999996</v>
      </c>
      <c r="R44" s="86">
        <f t="shared" si="66"/>
        <v>17980</v>
      </c>
      <c r="S44" s="87">
        <f t="shared" si="67"/>
        <v>10428</v>
      </c>
      <c r="T44" s="86">
        <f t="shared" si="37"/>
        <v>2697</v>
      </c>
      <c r="U44" s="86">
        <f t="shared" si="39"/>
        <v>300</v>
      </c>
      <c r="V44" s="86"/>
      <c r="W44" s="86">
        <f t="shared" si="68"/>
        <v>31405</v>
      </c>
      <c r="X44" s="87">
        <f t="shared" si="69"/>
        <v>150</v>
      </c>
      <c r="Y44" s="86"/>
      <c r="Z44" s="86"/>
      <c r="AA44" s="88">
        <f t="shared" si="70"/>
        <v>31255</v>
      </c>
      <c r="AB44" s="67"/>
      <c r="AC44" s="68" t="str">
        <f t="shared" si="71"/>
        <v>Sep-2011</v>
      </c>
      <c r="AD44" s="59">
        <f t="shared" si="83"/>
        <v>17980</v>
      </c>
      <c r="AE44" s="56">
        <f>IF(Arrear!$C$7="Y",AF44,IF(Arrear!$C$6="Y",AF44,0))</f>
        <v>17980</v>
      </c>
      <c r="AF44" s="58">
        <f t="shared" si="73"/>
        <v>17980</v>
      </c>
      <c r="AG44" s="58">
        <f t="shared" si="74"/>
        <v>17980</v>
      </c>
      <c r="AH44" s="58">
        <f t="shared" si="75"/>
        <v>18520</v>
      </c>
      <c r="AI44" s="58">
        <f t="shared" ref="AI44" si="86">AH44+IF(MOD(AH44*0.03,10)&gt;=1,AH44*0.03-MOD(AH44*0.03,10)+10,AH44*0.03-MOD(AH44*0.03,10))</f>
        <v>19080</v>
      </c>
      <c r="AJ44" s="69">
        <f t="shared" si="85"/>
        <v>0</v>
      </c>
      <c r="AK44" s="59">
        <f t="shared" si="14"/>
        <v>0</v>
      </c>
      <c r="AL44" s="58">
        <f t="shared" si="22"/>
        <v>0</v>
      </c>
      <c r="AM44" s="69">
        <f t="shared" si="23"/>
        <v>17980</v>
      </c>
    </row>
    <row r="45" spans="1:39" s="70" customFormat="1" ht="15" customHeight="1" x14ac:dyDescent="0.25">
      <c r="A45" s="83">
        <v>40817</v>
      </c>
      <c r="B45" s="84">
        <v>0.35</v>
      </c>
      <c r="C45" s="85">
        <f t="shared" si="15"/>
        <v>17980</v>
      </c>
      <c r="D45" s="86">
        <f t="shared" si="63"/>
        <v>6293</v>
      </c>
      <c r="E45" s="86">
        <f t="shared" si="64"/>
        <v>2697</v>
      </c>
      <c r="F45" s="86">
        <f t="shared" si="36"/>
        <v>300</v>
      </c>
      <c r="G45" s="86"/>
      <c r="H45" s="86">
        <f t="shared" si="16"/>
        <v>27270</v>
      </c>
      <c r="I45" s="87">
        <f t="shared" si="65"/>
        <v>150</v>
      </c>
      <c r="J45" s="86"/>
      <c r="K45" s="86"/>
      <c r="L45" s="88">
        <f t="shared" si="4"/>
        <v>27120</v>
      </c>
      <c r="M45" s="88"/>
      <c r="N45" s="88">
        <f t="shared" si="17"/>
        <v>4135</v>
      </c>
      <c r="O45" s="85"/>
      <c r="P45" s="83">
        <v>40817</v>
      </c>
      <c r="Q45" s="84">
        <f>Q44</f>
        <v>0.57999999999999996</v>
      </c>
      <c r="R45" s="86">
        <f t="shared" si="66"/>
        <v>17980</v>
      </c>
      <c r="S45" s="87">
        <f t="shared" si="67"/>
        <v>10428</v>
      </c>
      <c r="T45" s="86">
        <f t="shared" si="37"/>
        <v>2697</v>
      </c>
      <c r="U45" s="86">
        <f t="shared" si="39"/>
        <v>300</v>
      </c>
      <c r="V45" s="86"/>
      <c r="W45" s="86">
        <f t="shared" si="68"/>
        <v>31405</v>
      </c>
      <c r="X45" s="87">
        <f t="shared" si="69"/>
        <v>150</v>
      </c>
      <c r="Y45" s="86"/>
      <c r="Z45" s="86"/>
      <c r="AA45" s="88">
        <f t="shared" si="70"/>
        <v>31255</v>
      </c>
      <c r="AB45" s="67"/>
      <c r="AC45" s="68" t="str">
        <f t="shared" si="71"/>
        <v>Oct-2011</v>
      </c>
      <c r="AD45" s="59">
        <f t="shared" si="83"/>
        <v>17980</v>
      </c>
      <c r="AE45" s="56">
        <f>IF(Arrear!$C$7="Y",AF45,IF(Arrear!$C$6="Y",AF45,0))</f>
        <v>17980</v>
      </c>
      <c r="AF45" s="58">
        <f t="shared" si="73"/>
        <v>17980</v>
      </c>
      <c r="AG45" s="58">
        <f t="shared" si="74"/>
        <v>17980</v>
      </c>
      <c r="AH45" s="58">
        <f t="shared" si="75"/>
        <v>18520</v>
      </c>
      <c r="AI45" s="58">
        <f t="shared" ref="AI45" si="87">AH45+IF(MOD(AH45*0.03,10)&gt;=1,AH45*0.03-MOD(AH45*0.03,10)+10,AH45*0.03-MOD(AH45*0.03,10))</f>
        <v>19080</v>
      </c>
      <c r="AJ45" s="69">
        <f t="shared" si="85"/>
        <v>0</v>
      </c>
      <c r="AK45" s="59">
        <f t="shared" si="14"/>
        <v>0</v>
      </c>
      <c r="AL45" s="58">
        <f t="shared" si="22"/>
        <v>0</v>
      </c>
      <c r="AM45" s="69">
        <f t="shared" si="23"/>
        <v>17980</v>
      </c>
    </row>
    <row r="46" spans="1:39" s="70" customFormat="1" ht="15" customHeight="1" x14ac:dyDescent="0.25">
      <c r="A46" s="83">
        <v>40848</v>
      </c>
      <c r="B46" s="84">
        <v>0.35</v>
      </c>
      <c r="C46" s="85">
        <f t="shared" si="15"/>
        <v>17980</v>
      </c>
      <c r="D46" s="86">
        <f t="shared" si="63"/>
        <v>6293</v>
      </c>
      <c r="E46" s="86">
        <f t="shared" si="64"/>
        <v>2697</v>
      </c>
      <c r="F46" s="86">
        <f t="shared" si="36"/>
        <v>300</v>
      </c>
      <c r="G46" s="86"/>
      <c r="H46" s="86">
        <f t="shared" si="16"/>
        <v>27270</v>
      </c>
      <c r="I46" s="87">
        <f t="shared" si="65"/>
        <v>150</v>
      </c>
      <c r="J46" s="86"/>
      <c r="K46" s="86"/>
      <c r="L46" s="88">
        <f t="shared" si="4"/>
        <v>27120</v>
      </c>
      <c r="M46" s="88"/>
      <c r="N46" s="88">
        <f t="shared" si="17"/>
        <v>4135</v>
      </c>
      <c r="O46" s="85"/>
      <c r="P46" s="83">
        <v>40848</v>
      </c>
      <c r="Q46" s="84">
        <f>Q45</f>
        <v>0.57999999999999996</v>
      </c>
      <c r="R46" s="86">
        <f t="shared" si="66"/>
        <v>17980</v>
      </c>
      <c r="S46" s="87">
        <f t="shared" si="67"/>
        <v>10428</v>
      </c>
      <c r="T46" s="86">
        <f t="shared" si="37"/>
        <v>2697</v>
      </c>
      <c r="U46" s="86">
        <f t="shared" si="39"/>
        <v>300</v>
      </c>
      <c r="V46" s="86"/>
      <c r="W46" s="86">
        <f t="shared" si="68"/>
        <v>31405</v>
      </c>
      <c r="X46" s="87">
        <f t="shared" si="69"/>
        <v>150</v>
      </c>
      <c r="Y46" s="86"/>
      <c r="Z46" s="86"/>
      <c r="AA46" s="88">
        <f t="shared" si="70"/>
        <v>31255</v>
      </c>
      <c r="AB46" s="67"/>
      <c r="AC46" s="68" t="str">
        <f t="shared" si="71"/>
        <v>Nov-2011</v>
      </c>
      <c r="AD46" s="59">
        <f t="shared" si="83"/>
        <v>17980</v>
      </c>
      <c r="AE46" s="56">
        <f>IF(Arrear!$C$7="Y",AF46,IF(Arrear!$C$6="Y",AF46,0))</f>
        <v>17980</v>
      </c>
      <c r="AF46" s="58">
        <f t="shared" si="73"/>
        <v>17980</v>
      </c>
      <c r="AG46" s="58">
        <f t="shared" si="74"/>
        <v>17980</v>
      </c>
      <c r="AH46" s="58">
        <f t="shared" si="75"/>
        <v>18520</v>
      </c>
      <c r="AI46" s="58">
        <f t="shared" ref="AI46" si="88">AH46+IF(MOD(AH46*0.03,10)&gt;=1,AH46*0.03-MOD(AH46*0.03,10)+10,AH46*0.03-MOD(AH46*0.03,10))</f>
        <v>19080</v>
      </c>
      <c r="AJ46" s="69">
        <f t="shared" si="85"/>
        <v>0</v>
      </c>
      <c r="AK46" s="59">
        <f t="shared" si="14"/>
        <v>0</v>
      </c>
      <c r="AL46" s="58">
        <f t="shared" si="22"/>
        <v>0</v>
      </c>
      <c r="AM46" s="69">
        <f t="shared" si="23"/>
        <v>17980</v>
      </c>
    </row>
    <row r="47" spans="1:39" s="70" customFormat="1" ht="15" customHeight="1" x14ac:dyDescent="0.25">
      <c r="A47" s="83">
        <v>40878</v>
      </c>
      <c r="B47" s="84">
        <v>0.35</v>
      </c>
      <c r="C47" s="85">
        <f t="shared" si="15"/>
        <v>17980</v>
      </c>
      <c r="D47" s="86">
        <f t="shared" si="63"/>
        <v>6293</v>
      </c>
      <c r="E47" s="86">
        <f t="shared" si="64"/>
        <v>2697</v>
      </c>
      <c r="F47" s="86">
        <f t="shared" ref="F47:F78" si="89">IF(C47=0,0,300)</f>
        <v>300</v>
      </c>
      <c r="G47" s="86"/>
      <c r="H47" s="86">
        <f t="shared" si="16"/>
        <v>27270</v>
      </c>
      <c r="I47" s="87">
        <f t="shared" si="65"/>
        <v>150</v>
      </c>
      <c r="J47" s="86"/>
      <c r="K47" s="86"/>
      <c r="L47" s="88">
        <f t="shared" si="4"/>
        <v>27120</v>
      </c>
      <c r="M47" s="88"/>
      <c r="N47" s="88">
        <f t="shared" si="17"/>
        <v>4135</v>
      </c>
      <c r="O47" s="85"/>
      <c r="P47" s="83">
        <v>40878</v>
      </c>
      <c r="Q47" s="84">
        <f>Q46</f>
        <v>0.57999999999999996</v>
      </c>
      <c r="R47" s="86">
        <f t="shared" si="66"/>
        <v>17980</v>
      </c>
      <c r="S47" s="87">
        <f t="shared" si="67"/>
        <v>10428</v>
      </c>
      <c r="T47" s="86">
        <f t="shared" ref="T47:T78" si="90">ROUND(R47*0.15,0)</f>
        <v>2697</v>
      </c>
      <c r="U47" s="86">
        <f t="shared" si="39"/>
        <v>300</v>
      </c>
      <c r="V47" s="86"/>
      <c r="W47" s="86">
        <f t="shared" si="68"/>
        <v>31405</v>
      </c>
      <c r="X47" s="87">
        <f t="shared" si="69"/>
        <v>150</v>
      </c>
      <c r="Y47" s="86"/>
      <c r="Z47" s="86"/>
      <c r="AA47" s="88">
        <f t="shared" si="70"/>
        <v>31255</v>
      </c>
      <c r="AB47" s="67"/>
      <c r="AC47" s="68" t="str">
        <f t="shared" si="71"/>
        <v>Dec-2011</v>
      </c>
      <c r="AD47" s="59">
        <f t="shared" si="83"/>
        <v>17980</v>
      </c>
      <c r="AE47" s="56">
        <f>IF(Arrear!$C$7="Y",AF47,IF(Arrear!$C$6="Y",AF47,0))</f>
        <v>17980</v>
      </c>
      <c r="AF47" s="58">
        <f t="shared" si="73"/>
        <v>17980</v>
      </c>
      <c r="AG47" s="58">
        <f t="shared" si="74"/>
        <v>17980</v>
      </c>
      <c r="AH47" s="58">
        <f t="shared" si="75"/>
        <v>18520</v>
      </c>
      <c r="AI47" s="58">
        <f t="shared" ref="AI47" si="91">AH47+IF(MOD(AH47*0.03,10)&gt;=1,AH47*0.03-MOD(AH47*0.03,10)+10,AH47*0.03-MOD(AH47*0.03,10))</f>
        <v>19080</v>
      </c>
      <c r="AJ47" s="69">
        <f t="shared" si="85"/>
        <v>0</v>
      </c>
      <c r="AK47" s="59">
        <f t="shared" si="14"/>
        <v>0</v>
      </c>
      <c r="AL47" s="58">
        <f t="shared" si="22"/>
        <v>0</v>
      </c>
      <c r="AM47" s="69">
        <f t="shared" si="23"/>
        <v>17980</v>
      </c>
    </row>
    <row r="48" spans="1:39" s="70" customFormat="1" ht="15" customHeight="1" x14ac:dyDescent="0.25">
      <c r="A48" s="83">
        <v>40909</v>
      </c>
      <c r="B48" s="84">
        <v>0.45</v>
      </c>
      <c r="C48" s="85">
        <f t="shared" si="15"/>
        <v>17980</v>
      </c>
      <c r="D48" s="86">
        <f t="shared" si="63"/>
        <v>8091</v>
      </c>
      <c r="E48" s="86">
        <f t="shared" si="64"/>
        <v>2697</v>
      </c>
      <c r="F48" s="86">
        <f t="shared" si="89"/>
        <v>300</v>
      </c>
      <c r="G48" s="86"/>
      <c r="H48" s="86">
        <f t="shared" si="16"/>
        <v>29068</v>
      </c>
      <c r="I48" s="87">
        <f t="shared" si="65"/>
        <v>150</v>
      </c>
      <c r="J48" s="86"/>
      <c r="K48" s="86"/>
      <c r="L48" s="88">
        <f t="shared" si="4"/>
        <v>28918</v>
      </c>
      <c r="M48" s="88"/>
      <c r="N48" s="88">
        <f t="shared" si="17"/>
        <v>3596</v>
      </c>
      <c r="O48" s="85"/>
      <c r="P48" s="83">
        <v>40909</v>
      </c>
      <c r="Q48" s="84">
        <v>0.65</v>
      </c>
      <c r="R48" s="86">
        <f t="shared" si="66"/>
        <v>17980</v>
      </c>
      <c r="S48" s="87">
        <f t="shared" si="67"/>
        <v>11687</v>
      </c>
      <c r="T48" s="86">
        <f t="shared" si="90"/>
        <v>2697</v>
      </c>
      <c r="U48" s="86">
        <f t="shared" si="39"/>
        <v>300</v>
      </c>
      <c r="V48" s="86"/>
      <c r="W48" s="86">
        <f t="shared" si="68"/>
        <v>32664</v>
      </c>
      <c r="X48" s="87">
        <f t="shared" si="69"/>
        <v>150</v>
      </c>
      <c r="Y48" s="86"/>
      <c r="Z48" s="86"/>
      <c r="AA48" s="88">
        <f t="shared" si="70"/>
        <v>32514</v>
      </c>
      <c r="AB48" s="67"/>
      <c r="AC48" s="68" t="str">
        <f t="shared" si="71"/>
        <v>Jan-2012</v>
      </c>
      <c r="AD48" s="59">
        <f t="shared" si="83"/>
        <v>17980</v>
      </c>
      <c r="AE48" s="56">
        <f>IF(Arrear!$C$7="Y",AF48,IF(Arrear!$C$6="Y",AF48,0))</f>
        <v>17980</v>
      </c>
      <c r="AF48" s="58">
        <f t="shared" si="73"/>
        <v>17980</v>
      </c>
      <c r="AG48" s="58">
        <f t="shared" si="74"/>
        <v>17980</v>
      </c>
      <c r="AH48" s="58">
        <f t="shared" si="75"/>
        <v>18520</v>
      </c>
      <c r="AI48" s="58">
        <f t="shared" ref="AI48" si="92">AH48+IF(MOD(AH48*0.03,10)&gt;=1,AH48*0.03-MOD(AH48*0.03,10)+10,AH48*0.03-MOD(AH48*0.03,10))</f>
        <v>19080</v>
      </c>
      <c r="AJ48" s="69">
        <f t="shared" si="85"/>
        <v>0</v>
      </c>
      <c r="AK48" s="59">
        <f t="shared" si="14"/>
        <v>0</v>
      </c>
      <c r="AL48" s="58">
        <f t="shared" si="22"/>
        <v>0</v>
      </c>
      <c r="AM48" s="69">
        <f t="shared" si="23"/>
        <v>17980</v>
      </c>
    </row>
    <row r="49" spans="1:39" s="70" customFormat="1" ht="15" customHeight="1" x14ac:dyDescent="0.25">
      <c r="A49" s="83">
        <v>40940</v>
      </c>
      <c r="B49" s="84">
        <v>0.45</v>
      </c>
      <c r="C49" s="85">
        <f t="shared" si="15"/>
        <v>17980</v>
      </c>
      <c r="D49" s="86">
        <f t="shared" si="63"/>
        <v>8091</v>
      </c>
      <c r="E49" s="86">
        <f t="shared" si="64"/>
        <v>2697</v>
      </c>
      <c r="F49" s="86">
        <f t="shared" si="89"/>
        <v>300</v>
      </c>
      <c r="G49" s="86"/>
      <c r="H49" s="86">
        <f t="shared" si="16"/>
        <v>29068</v>
      </c>
      <c r="I49" s="87">
        <f t="shared" si="65"/>
        <v>150</v>
      </c>
      <c r="J49" s="86"/>
      <c r="K49" s="86"/>
      <c r="L49" s="88">
        <f t="shared" si="4"/>
        <v>28918</v>
      </c>
      <c r="M49" s="88"/>
      <c r="N49" s="88">
        <f t="shared" si="17"/>
        <v>3596</v>
      </c>
      <c r="O49" s="85"/>
      <c r="P49" s="83">
        <v>40940</v>
      </c>
      <c r="Q49" s="84">
        <f>Q48</f>
        <v>0.65</v>
      </c>
      <c r="R49" s="86">
        <f t="shared" si="66"/>
        <v>17980</v>
      </c>
      <c r="S49" s="87">
        <f t="shared" si="67"/>
        <v>11687</v>
      </c>
      <c r="T49" s="86">
        <f t="shared" si="90"/>
        <v>2697</v>
      </c>
      <c r="U49" s="86">
        <f t="shared" si="39"/>
        <v>300</v>
      </c>
      <c r="V49" s="86"/>
      <c r="W49" s="86">
        <f t="shared" si="68"/>
        <v>32664</v>
      </c>
      <c r="X49" s="87">
        <f t="shared" si="69"/>
        <v>150</v>
      </c>
      <c r="Y49" s="86"/>
      <c r="Z49" s="86"/>
      <c r="AA49" s="88">
        <f t="shared" si="70"/>
        <v>32514</v>
      </c>
      <c r="AB49" s="67"/>
      <c r="AC49" s="68" t="str">
        <f t="shared" si="71"/>
        <v>Feb-2012</v>
      </c>
      <c r="AD49" s="59">
        <f t="shared" si="83"/>
        <v>17980</v>
      </c>
      <c r="AE49" s="56">
        <f>IF(Arrear!$C$7="Y",AF49,IF(Arrear!$C$6="Y",AF49,0))</f>
        <v>17980</v>
      </c>
      <c r="AF49" s="58">
        <f t="shared" si="73"/>
        <v>17980</v>
      </c>
      <c r="AG49" s="58">
        <f t="shared" si="74"/>
        <v>17980</v>
      </c>
      <c r="AH49" s="58">
        <f t="shared" si="75"/>
        <v>18520</v>
      </c>
      <c r="AI49" s="58">
        <f t="shared" ref="AI49" si="93">AH49+IF(MOD(AH49*0.03,10)&gt;=1,AH49*0.03-MOD(AH49*0.03,10)+10,AH49*0.03-MOD(AH49*0.03,10))</f>
        <v>19080</v>
      </c>
      <c r="AJ49" s="69">
        <f t="shared" si="85"/>
        <v>0</v>
      </c>
      <c r="AK49" s="59">
        <f t="shared" si="14"/>
        <v>0</v>
      </c>
      <c r="AL49" s="58">
        <f t="shared" si="22"/>
        <v>0</v>
      </c>
      <c r="AM49" s="69">
        <f t="shared" si="23"/>
        <v>17980</v>
      </c>
    </row>
    <row r="50" spans="1:39" s="70" customFormat="1" ht="15" customHeight="1" x14ac:dyDescent="0.25">
      <c r="A50" s="83">
        <v>40969</v>
      </c>
      <c r="B50" s="84">
        <v>0.45</v>
      </c>
      <c r="C50" s="85">
        <f t="shared" si="15"/>
        <v>17980</v>
      </c>
      <c r="D50" s="86">
        <f t="shared" si="63"/>
        <v>8091</v>
      </c>
      <c r="E50" s="86">
        <f t="shared" si="64"/>
        <v>2697</v>
      </c>
      <c r="F50" s="86">
        <f t="shared" si="89"/>
        <v>300</v>
      </c>
      <c r="G50" s="86"/>
      <c r="H50" s="86">
        <f t="shared" si="16"/>
        <v>29068</v>
      </c>
      <c r="I50" s="87">
        <f t="shared" si="65"/>
        <v>150</v>
      </c>
      <c r="J50" s="86"/>
      <c r="K50" s="86"/>
      <c r="L50" s="88">
        <f t="shared" si="4"/>
        <v>28918</v>
      </c>
      <c r="M50" s="88"/>
      <c r="N50" s="88">
        <f t="shared" si="17"/>
        <v>3596</v>
      </c>
      <c r="O50" s="85"/>
      <c r="P50" s="83">
        <v>40969</v>
      </c>
      <c r="Q50" s="84">
        <f>Q49</f>
        <v>0.65</v>
      </c>
      <c r="R50" s="86">
        <f t="shared" si="66"/>
        <v>17980</v>
      </c>
      <c r="S50" s="87">
        <f t="shared" si="67"/>
        <v>11687</v>
      </c>
      <c r="T50" s="86">
        <f t="shared" si="90"/>
        <v>2697</v>
      </c>
      <c r="U50" s="86">
        <f t="shared" si="39"/>
        <v>300</v>
      </c>
      <c r="V50" s="86"/>
      <c r="W50" s="86">
        <f t="shared" si="68"/>
        <v>32664</v>
      </c>
      <c r="X50" s="87">
        <f t="shared" si="69"/>
        <v>150</v>
      </c>
      <c r="Y50" s="86"/>
      <c r="Z50" s="86"/>
      <c r="AA50" s="88">
        <f t="shared" si="70"/>
        <v>32514</v>
      </c>
      <c r="AB50" s="67"/>
      <c r="AC50" s="68" t="str">
        <f t="shared" si="71"/>
        <v>Mar-2012</v>
      </c>
      <c r="AD50" s="59">
        <f t="shared" si="83"/>
        <v>17980</v>
      </c>
      <c r="AE50" s="56">
        <f>IF(Arrear!$C$7="Y",AF50,IF(Arrear!$C$6="Y",AF50,0))</f>
        <v>17980</v>
      </c>
      <c r="AF50" s="58">
        <f t="shared" si="73"/>
        <v>17980</v>
      </c>
      <c r="AG50" s="58">
        <f t="shared" si="74"/>
        <v>17980</v>
      </c>
      <c r="AH50" s="58">
        <f t="shared" si="75"/>
        <v>18520</v>
      </c>
      <c r="AI50" s="58">
        <f t="shared" ref="AI50" si="94">AH50+IF(MOD(AH50*0.03,10)&gt;=1,AH50*0.03-MOD(AH50*0.03,10)+10,AH50*0.03-MOD(AH50*0.03,10))</f>
        <v>19080</v>
      </c>
      <c r="AJ50" s="69">
        <f t="shared" si="85"/>
        <v>0</v>
      </c>
      <c r="AK50" s="59">
        <f t="shared" si="14"/>
        <v>0</v>
      </c>
      <c r="AL50" s="58">
        <f t="shared" si="22"/>
        <v>0</v>
      </c>
      <c r="AM50" s="69">
        <f t="shared" si="23"/>
        <v>17980</v>
      </c>
    </row>
    <row r="51" spans="1:39" s="70" customFormat="1" ht="15" customHeight="1" x14ac:dyDescent="0.25">
      <c r="A51" s="83">
        <v>41000</v>
      </c>
      <c r="B51" s="84">
        <v>0.45</v>
      </c>
      <c r="C51" s="85">
        <f t="shared" si="15"/>
        <v>17980</v>
      </c>
      <c r="D51" s="86">
        <f t="shared" si="63"/>
        <v>8091</v>
      </c>
      <c r="E51" s="86">
        <f t="shared" si="64"/>
        <v>2697</v>
      </c>
      <c r="F51" s="86">
        <f t="shared" si="89"/>
        <v>300</v>
      </c>
      <c r="G51" s="86"/>
      <c r="H51" s="86">
        <f t="shared" si="16"/>
        <v>29068</v>
      </c>
      <c r="I51" s="87">
        <f t="shared" si="65"/>
        <v>150</v>
      </c>
      <c r="J51" s="86"/>
      <c r="K51" s="86"/>
      <c r="L51" s="88">
        <f t="shared" si="4"/>
        <v>28918</v>
      </c>
      <c r="M51" s="88"/>
      <c r="N51" s="88">
        <f t="shared" si="17"/>
        <v>3596</v>
      </c>
      <c r="O51" s="85"/>
      <c r="P51" s="83">
        <v>41000</v>
      </c>
      <c r="Q51" s="84">
        <f>Q50</f>
        <v>0.65</v>
      </c>
      <c r="R51" s="86">
        <f t="shared" si="66"/>
        <v>17980</v>
      </c>
      <c r="S51" s="87">
        <f t="shared" si="67"/>
        <v>11687</v>
      </c>
      <c r="T51" s="86">
        <f t="shared" si="90"/>
        <v>2697</v>
      </c>
      <c r="U51" s="86">
        <f t="shared" si="39"/>
        <v>300</v>
      </c>
      <c r="V51" s="86"/>
      <c r="W51" s="86">
        <f t="shared" si="68"/>
        <v>32664</v>
      </c>
      <c r="X51" s="87">
        <f t="shared" si="69"/>
        <v>150</v>
      </c>
      <c r="Y51" s="86"/>
      <c r="Z51" s="86"/>
      <c r="AA51" s="88">
        <f t="shared" si="70"/>
        <v>32514</v>
      </c>
      <c r="AB51" s="67"/>
      <c r="AC51" s="68" t="str">
        <f t="shared" si="71"/>
        <v>Apr-2012</v>
      </c>
      <c r="AD51" s="59">
        <f t="shared" si="83"/>
        <v>17980</v>
      </c>
      <c r="AE51" s="56">
        <f>IF(Arrear!$C$7="Y",AF51,IF(Arrear!$C$6="Y",AF51,0))</f>
        <v>17980</v>
      </c>
      <c r="AF51" s="58">
        <f t="shared" si="73"/>
        <v>17980</v>
      </c>
      <c r="AG51" s="58">
        <f t="shared" si="74"/>
        <v>17980</v>
      </c>
      <c r="AH51" s="58">
        <f t="shared" si="75"/>
        <v>18520</v>
      </c>
      <c r="AI51" s="58">
        <f t="shared" ref="AI51" si="95">AH51+IF(MOD(AH51*0.03,10)&gt;=1,AH51*0.03-MOD(AH51*0.03,10)+10,AH51*0.03-MOD(AH51*0.03,10))</f>
        <v>19080</v>
      </c>
      <c r="AJ51" s="69">
        <f t="shared" si="85"/>
        <v>0</v>
      </c>
      <c r="AK51" s="59">
        <f t="shared" si="14"/>
        <v>0</v>
      </c>
      <c r="AL51" s="58">
        <f t="shared" si="22"/>
        <v>0</v>
      </c>
      <c r="AM51" s="69">
        <f t="shared" si="23"/>
        <v>17980</v>
      </c>
    </row>
    <row r="52" spans="1:39" s="70" customFormat="1" ht="15" customHeight="1" x14ac:dyDescent="0.25">
      <c r="A52" s="83">
        <v>41030</v>
      </c>
      <c r="B52" s="84">
        <v>0.45</v>
      </c>
      <c r="C52" s="85">
        <f t="shared" si="15"/>
        <v>17980</v>
      </c>
      <c r="D52" s="86">
        <f t="shared" si="63"/>
        <v>8091</v>
      </c>
      <c r="E52" s="86">
        <f t="shared" si="64"/>
        <v>2697</v>
      </c>
      <c r="F52" s="86">
        <f t="shared" si="89"/>
        <v>300</v>
      </c>
      <c r="G52" s="86"/>
      <c r="H52" s="86">
        <f t="shared" si="16"/>
        <v>29068</v>
      </c>
      <c r="I52" s="87">
        <f t="shared" si="65"/>
        <v>150</v>
      </c>
      <c r="J52" s="86"/>
      <c r="K52" s="86"/>
      <c r="L52" s="88">
        <f t="shared" si="4"/>
        <v>28918</v>
      </c>
      <c r="M52" s="88"/>
      <c r="N52" s="88">
        <f t="shared" si="17"/>
        <v>3596</v>
      </c>
      <c r="O52" s="85"/>
      <c r="P52" s="83">
        <v>41030</v>
      </c>
      <c r="Q52" s="84">
        <f>Q51</f>
        <v>0.65</v>
      </c>
      <c r="R52" s="86">
        <f t="shared" si="66"/>
        <v>17980</v>
      </c>
      <c r="S52" s="87">
        <f t="shared" si="67"/>
        <v>11687</v>
      </c>
      <c r="T52" s="86">
        <f t="shared" si="90"/>
        <v>2697</v>
      </c>
      <c r="U52" s="86">
        <f t="shared" si="39"/>
        <v>300</v>
      </c>
      <c r="V52" s="86"/>
      <c r="W52" s="86">
        <f t="shared" si="68"/>
        <v>32664</v>
      </c>
      <c r="X52" s="87">
        <f t="shared" si="69"/>
        <v>150</v>
      </c>
      <c r="Y52" s="86"/>
      <c r="Z52" s="86"/>
      <c r="AA52" s="88">
        <f t="shared" si="70"/>
        <v>32514</v>
      </c>
      <c r="AB52" s="67"/>
      <c r="AC52" s="68" t="str">
        <f t="shared" si="71"/>
        <v>May-2012</v>
      </c>
      <c r="AD52" s="59">
        <f t="shared" si="83"/>
        <v>17980</v>
      </c>
      <c r="AE52" s="56">
        <f>IF(Arrear!$C$7="Y",AF52,IF(Arrear!$C$6="Y",AF52,0))</f>
        <v>17980</v>
      </c>
      <c r="AF52" s="58">
        <f t="shared" si="73"/>
        <v>17980</v>
      </c>
      <c r="AG52" s="58">
        <f t="shared" si="74"/>
        <v>17980</v>
      </c>
      <c r="AH52" s="58">
        <f t="shared" si="75"/>
        <v>18520</v>
      </c>
      <c r="AI52" s="58">
        <f t="shared" ref="AI52" si="96">AH52+IF(MOD(AH52*0.03,10)&gt;=1,AH52*0.03-MOD(AH52*0.03,10)+10,AH52*0.03-MOD(AH52*0.03,10))</f>
        <v>19080</v>
      </c>
      <c r="AJ52" s="69">
        <f t="shared" si="85"/>
        <v>0</v>
      </c>
      <c r="AK52" s="59">
        <f t="shared" si="14"/>
        <v>0</v>
      </c>
      <c r="AL52" s="58">
        <f t="shared" si="22"/>
        <v>0</v>
      </c>
      <c r="AM52" s="69">
        <f t="shared" si="23"/>
        <v>17980</v>
      </c>
    </row>
    <row r="53" spans="1:39" s="70" customFormat="1" ht="15" customHeight="1" x14ac:dyDescent="0.25">
      <c r="A53" s="83">
        <v>41061</v>
      </c>
      <c r="B53" s="84">
        <v>0.45</v>
      </c>
      <c r="C53" s="85">
        <f t="shared" si="15"/>
        <v>17980</v>
      </c>
      <c r="D53" s="86">
        <f t="shared" si="63"/>
        <v>8091</v>
      </c>
      <c r="E53" s="86">
        <f t="shared" si="64"/>
        <v>2697</v>
      </c>
      <c r="F53" s="86">
        <f t="shared" si="89"/>
        <v>300</v>
      </c>
      <c r="G53" s="86"/>
      <c r="H53" s="86">
        <f t="shared" si="16"/>
        <v>29068</v>
      </c>
      <c r="I53" s="87">
        <f t="shared" si="65"/>
        <v>150</v>
      </c>
      <c r="J53" s="86"/>
      <c r="K53" s="86"/>
      <c r="L53" s="88">
        <f t="shared" si="4"/>
        <v>28918</v>
      </c>
      <c r="M53" s="88"/>
      <c r="N53" s="88">
        <f t="shared" si="17"/>
        <v>3596</v>
      </c>
      <c r="O53" s="85"/>
      <c r="P53" s="83">
        <v>41061</v>
      </c>
      <c r="Q53" s="84">
        <f>Q52</f>
        <v>0.65</v>
      </c>
      <c r="R53" s="86">
        <f t="shared" si="66"/>
        <v>17980</v>
      </c>
      <c r="S53" s="87">
        <f t="shared" si="67"/>
        <v>11687</v>
      </c>
      <c r="T53" s="86">
        <f t="shared" si="90"/>
        <v>2697</v>
      </c>
      <c r="U53" s="86">
        <f t="shared" si="39"/>
        <v>300</v>
      </c>
      <c r="V53" s="86"/>
      <c r="W53" s="86">
        <f t="shared" si="68"/>
        <v>32664</v>
      </c>
      <c r="X53" s="87">
        <f t="shared" si="69"/>
        <v>150</v>
      </c>
      <c r="Y53" s="86"/>
      <c r="Z53" s="86"/>
      <c r="AA53" s="88">
        <f t="shared" si="70"/>
        <v>32514</v>
      </c>
      <c r="AB53" s="67"/>
      <c r="AC53" s="68" t="str">
        <f t="shared" si="71"/>
        <v>Jun-2012</v>
      </c>
      <c r="AD53" s="59">
        <f t="shared" si="83"/>
        <v>17980</v>
      </c>
      <c r="AE53" s="56">
        <f>IF(Arrear!$C$7="Y",AF53,IF(Arrear!$C$6="Y",AF53,0))</f>
        <v>17980</v>
      </c>
      <c r="AF53" s="58">
        <f t="shared" si="73"/>
        <v>17980</v>
      </c>
      <c r="AG53" s="58">
        <f t="shared" si="74"/>
        <v>17980</v>
      </c>
      <c r="AH53" s="58">
        <f t="shared" si="75"/>
        <v>18520</v>
      </c>
      <c r="AI53" s="58">
        <f t="shared" ref="AI53" si="97">AH53+IF(MOD(AH53*0.03,10)&gt;=1,AH53*0.03-MOD(AH53*0.03,10)+10,AH53*0.03-MOD(AH53*0.03,10))</f>
        <v>19080</v>
      </c>
      <c r="AJ53" s="69">
        <f t="shared" si="85"/>
        <v>0</v>
      </c>
      <c r="AK53" s="59">
        <f t="shared" si="14"/>
        <v>0</v>
      </c>
      <c r="AL53" s="58">
        <f t="shared" si="22"/>
        <v>0</v>
      </c>
      <c r="AM53" s="69">
        <f t="shared" si="23"/>
        <v>17980</v>
      </c>
    </row>
    <row r="54" spans="1:39" s="70" customFormat="1" ht="15" customHeight="1" x14ac:dyDescent="0.25">
      <c r="A54" s="83">
        <v>41091</v>
      </c>
      <c r="B54" s="84">
        <v>0.45</v>
      </c>
      <c r="C54" s="85">
        <f t="shared" si="15"/>
        <v>18520</v>
      </c>
      <c r="D54" s="86">
        <f t="shared" si="63"/>
        <v>8334</v>
      </c>
      <c r="E54" s="86">
        <f t="shared" si="64"/>
        <v>2778</v>
      </c>
      <c r="F54" s="86">
        <f t="shared" si="89"/>
        <v>300</v>
      </c>
      <c r="G54" s="86"/>
      <c r="H54" s="86">
        <f t="shared" si="16"/>
        <v>29932</v>
      </c>
      <c r="I54" s="87">
        <f t="shared" si="65"/>
        <v>150</v>
      </c>
      <c r="J54" s="86"/>
      <c r="K54" s="86"/>
      <c r="L54" s="88">
        <f t="shared" si="4"/>
        <v>29782</v>
      </c>
      <c r="M54" s="88"/>
      <c r="N54" s="88">
        <f t="shared" si="17"/>
        <v>5000</v>
      </c>
      <c r="O54" s="85"/>
      <c r="P54" s="83">
        <v>41091</v>
      </c>
      <c r="Q54" s="84">
        <v>0.72</v>
      </c>
      <c r="R54" s="86">
        <f t="shared" si="66"/>
        <v>18520</v>
      </c>
      <c r="S54" s="87">
        <f t="shared" si="67"/>
        <v>13334</v>
      </c>
      <c r="T54" s="86">
        <f t="shared" si="90"/>
        <v>2778</v>
      </c>
      <c r="U54" s="86">
        <f t="shared" si="39"/>
        <v>300</v>
      </c>
      <c r="V54" s="86"/>
      <c r="W54" s="86">
        <f t="shared" si="68"/>
        <v>34932</v>
      </c>
      <c r="X54" s="87">
        <f t="shared" si="69"/>
        <v>150</v>
      </c>
      <c r="Y54" s="86"/>
      <c r="Z54" s="86"/>
      <c r="AA54" s="88">
        <f t="shared" si="70"/>
        <v>34782</v>
      </c>
      <c r="AB54" s="67"/>
      <c r="AC54" s="68" t="str">
        <f t="shared" si="71"/>
        <v>Jul-2012</v>
      </c>
      <c r="AD54" s="59">
        <f>AD42+IF(MOD(AD42*0.03,10)&gt;=1,AD42*0.03-MOD(AD42*0.03,10)+10,AD42*0.03-MOD(AD42*0.03,10))</f>
        <v>18520</v>
      </c>
      <c r="AE54" s="56">
        <f>IF(Arrear!$C$7="Y",AF54,IF(Arrear!$C$6="Y",AF54,0))</f>
        <v>18520</v>
      </c>
      <c r="AF54" s="58">
        <f t="shared" si="73"/>
        <v>18520</v>
      </c>
      <c r="AG54" s="58">
        <f t="shared" si="74"/>
        <v>18520</v>
      </c>
      <c r="AH54" s="58">
        <f t="shared" si="75"/>
        <v>19080</v>
      </c>
      <c r="AI54" s="58">
        <f t="shared" ref="AI54" si="98">AH54+IF(MOD(AH54*0.03,10)&gt;=1,AH54*0.03-MOD(AH54*0.03,10)+10,AH54*0.03-MOD(AH54*0.03,10))</f>
        <v>19660</v>
      </c>
      <c r="AJ54" s="69">
        <f>IF(TEXT($O$7,"mmm-yyy")=AC54,$M$2,AJ53+IF(MOD(AJ53*0.03,10)&gt;=1,AJ53*0.03-MOD(AJ53*0.03,10)+10,AJ53*0.03-MOD(AJ53*0.03,10)))</f>
        <v>0</v>
      </c>
      <c r="AK54" s="59">
        <f>IF(TEXT($O$7,"mmm-yyy")=AC54,(AJ54-(ROUND(AJ54/(DAY(EOMONTH(A54,0)))*(DAY($O$7)-1),0))),IF(AC53=TEXT($O$7,"mmm-yyy"),AJ54,IF(AK53=0,AJ54,IF(AND(TEXT(A54,"mmm")="Jul",TEXT(A54,"yyy")=TEXT(Arrear!$B$2,"yyy")),AK53,AL53))))</f>
        <v>0</v>
      </c>
      <c r="AL54" s="58">
        <f t="shared" si="22"/>
        <v>0</v>
      </c>
      <c r="AM54" s="69">
        <f t="shared" si="23"/>
        <v>18520</v>
      </c>
    </row>
    <row r="55" spans="1:39" s="70" customFormat="1" ht="15" customHeight="1" x14ac:dyDescent="0.25">
      <c r="A55" s="83">
        <v>41122</v>
      </c>
      <c r="B55" s="84">
        <v>0.45</v>
      </c>
      <c r="C55" s="85">
        <f t="shared" si="15"/>
        <v>18520</v>
      </c>
      <c r="D55" s="86">
        <f t="shared" si="63"/>
        <v>8334</v>
      </c>
      <c r="E55" s="86">
        <f t="shared" si="64"/>
        <v>2778</v>
      </c>
      <c r="F55" s="86">
        <f t="shared" si="89"/>
        <v>300</v>
      </c>
      <c r="G55" s="86"/>
      <c r="H55" s="86">
        <f t="shared" si="16"/>
        <v>29932</v>
      </c>
      <c r="I55" s="87">
        <f t="shared" si="65"/>
        <v>150</v>
      </c>
      <c r="J55" s="86"/>
      <c r="K55" s="86"/>
      <c r="L55" s="88">
        <f t="shared" si="4"/>
        <v>29782</v>
      </c>
      <c r="M55" s="88"/>
      <c r="N55" s="88">
        <f t="shared" si="17"/>
        <v>5000</v>
      </c>
      <c r="O55" s="85"/>
      <c r="P55" s="83">
        <v>41122</v>
      </c>
      <c r="Q55" s="84">
        <f>Q54</f>
        <v>0.72</v>
      </c>
      <c r="R55" s="86">
        <f t="shared" si="66"/>
        <v>18520</v>
      </c>
      <c r="S55" s="87">
        <f t="shared" si="67"/>
        <v>13334</v>
      </c>
      <c r="T55" s="86">
        <f t="shared" si="90"/>
        <v>2778</v>
      </c>
      <c r="U55" s="86">
        <f t="shared" si="39"/>
        <v>300</v>
      </c>
      <c r="V55" s="86"/>
      <c r="W55" s="86">
        <f t="shared" si="68"/>
        <v>34932</v>
      </c>
      <c r="X55" s="87">
        <f t="shared" si="69"/>
        <v>150</v>
      </c>
      <c r="Y55" s="86"/>
      <c r="Z55" s="86"/>
      <c r="AA55" s="88">
        <f t="shared" si="70"/>
        <v>34782</v>
      </c>
      <c r="AB55" s="67"/>
      <c r="AC55" s="68" t="str">
        <f t="shared" si="71"/>
        <v>Aug-2012</v>
      </c>
      <c r="AD55" s="59">
        <f t="shared" ref="AD55:AD65" si="99">AD54</f>
        <v>18520</v>
      </c>
      <c r="AE55" s="56">
        <f>IF(Arrear!$C$7="Y",AF55,IF(Arrear!$C$6="Y",AF55,0))</f>
        <v>18520</v>
      </c>
      <c r="AF55" s="58">
        <f t="shared" si="73"/>
        <v>18520</v>
      </c>
      <c r="AG55" s="58">
        <f t="shared" si="74"/>
        <v>18520</v>
      </c>
      <c r="AH55" s="58">
        <f t="shared" si="75"/>
        <v>19080</v>
      </c>
      <c r="AI55" s="58">
        <f t="shared" ref="AI55" si="100">AH55+IF(MOD(AH55*0.03,10)&gt;=1,AH55*0.03-MOD(AH55*0.03,10)+10,AH55*0.03-MOD(AH55*0.03,10))</f>
        <v>19660</v>
      </c>
      <c r="AJ55" s="69">
        <f t="shared" ref="AJ55:AJ65" si="101">IF(TEXT($O$7,"mmm-yyy")=AC55,$M$2,AJ54)</f>
        <v>0</v>
      </c>
      <c r="AK55" s="59">
        <f t="shared" si="14"/>
        <v>0</v>
      </c>
      <c r="AL55" s="58">
        <f t="shared" si="22"/>
        <v>0</v>
      </c>
      <c r="AM55" s="69">
        <f t="shared" si="23"/>
        <v>18520</v>
      </c>
    </row>
    <row r="56" spans="1:39" s="70" customFormat="1" ht="15" customHeight="1" x14ac:dyDescent="0.25">
      <c r="A56" s="83">
        <v>41153</v>
      </c>
      <c r="B56" s="84">
        <v>0.45</v>
      </c>
      <c r="C56" s="85">
        <f t="shared" si="15"/>
        <v>18520</v>
      </c>
      <c r="D56" s="86">
        <f t="shared" si="63"/>
        <v>8334</v>
      </c>
      <c r="E56" s="86">
        <f t="shared" si="64"/>
        <v>2778</v>
      </c>
      <c r="F56" s="86">
        <f t="shared" si="89"/>
        <v>300</v>
      </c>
      <c r="G56" s="86"/>
      <c r="H56" s="86">
        <f t="shared" si="16"/>
        <v>29932</v>
      </c>
      <c r="I56" s="87">
        <f t="shared" si="65"/>
        <v>150</v>
      </c>
      <c r="J56" s="86"/>
      <c r="K56" s="86"/>
      <c r="L56" s="88">
        <f t="shared" si="4"/>
        <v>29782</v>
      </c>
      <c r="M56" s="88"/>
      <c r="N56" s="88">
        <f t="shared" si="17"/>
        <v>5000</v>
      </c>
      <c r="O56" s="85"/>
      <c r="P56" s="83">
        <v>41153</v>
      </c>
      <c r="Q56" s="84">
        <f>Q55</f>
        <v>0.72</v>
      </c>
      <c r="R56" s="86">
        <f t="shared" si="66"/>
        <v>18520</v>
      </c>
      <c r="S56" s="87">
        <f t="shared" si="67"/>
        <v>13334</v>
      </c>
      <c r="T56" s="86">
        <f t="shared" si="90"/>
        <v>2778</v>
      </c>
      <c r="U56" s="86">
        <f t="shared" si="39"/>
        <v>300</v>
      </c>
      <c r="V56" s="86"/>
      <c r="W56" s="86">
        <f t="shared" si="68"/>
        <v>34932</v>
      </c>
      <c r="X56" s="87">
        <f t="shared" si="69"/>
        <v>150</v>
      </c>
      <c r="Y56" s="86"/>
      <c r="Z56" s="86"/>
      <c r="AA56" s="88">
        <f t="shared" si="70"/>
        <v>34782</v>
      </c>
      <c r="AB56" s="67"/>
      <c r="AC56" s="68" t="str">
        <f t="shared" si="71"/>
        <v>Sep-2012</v>
      </c>
      <c r="AD56" s="59">
        <f t="shared" si="99"/>
        <v>18520</v>
      </c>
      <c r="AE56" s="56">
        <f>IF(Arrear!$C$7="Y",AF56,IF(Arrear!$C$6="Y",AF56,0))</f>
        <v>18520</v>
      </c>
      <c r="AF56" s="58">
        <f t="shared" si="73"/>
        <v>18520</v>
      </c>
      <c r="AG56" s="58">
        <f t="shared" si="74"/>
        <v>18520</v>
      </c>
      <c r="AH56" s="58">
        <f t="shared" si="75"/>
        <v>19080</v>
      </c>
      <c r="AI56" s="58">
        <f t="shared" ref="AI56" si="102">AH56+IF(MOD(AH56*0.03,10)&gt;=1,AH56*0.03-MOD(AH56*0.03,10)+10,AH56*0.03-MOD(AH56*0.03,10))</f>
        <v>19660</v>
      </c>
      <c r="AJ56" s="69">
        <f t="shared" si="101"/>
        <v>0</v>
      </c>
      <c r="AK56" s="59">
        <f t="shared" si="14"/>
        <v>0</v>
      </c>
      <c r="AL56" s="58">
        <f t="shared" si="22"/>
        <v>0</v>
      </c>
      <c r="AM56" s="69">
        <f t="shared" si="23"/>
        <v>18520</v>
      </c>
    </row>
    <row r="57" spans="1:39" s="70" customFormat="1" ht="15" customHeight="1" x14ac:dyDescent="0.25">
      <c r="A57" s="83">
        <v>41183</v>
      </c>
      <c r="B57" s="84">
        <v>0.45</v>
      </c>
      <c r="C57" s="85">
        <f t="shared" si="15"/>
        <v>18520</v>
      </c>
      <c r="D57" s="86">
        <f t="shared" si="63"/>
        <v>8334</v>
      </c>
      <c r="E57" s="86">
        <f t="shared" si="64"/>
        <v>2778</v>
      </c>
      <c r="F57" s="86">
        <f t="shared" si="89"/>
        <v>300</v>
      </c>
      <c r="G57" s="86"/>
      <c r="H57" s="86">
        <f t="shared" si="16"/>
        <v>29932</v>
      </c>
      <c r="I57" s="87">
        <f t="shared" si="65"/>
        <v>150</v>
      </c>
      <c r="J57" s="86"/>
      <c r="K57" s="86"/>
      <c r="L57" s="88">
        <f t="shared" si="4"/>
        <v>29782</v>
      </c>
      <c r="M57" s="88"/>
      <c r="N57" s="88">
        <f t="shared" si="17"/>
        <v>5000</v>
      </c>
      <c r="O57" s="85"/>
      <c r="P57" s="83">
        <v>41183</v>
      </c>
      <c r="Q57" s="84">
        <f>Q56</f>
        <v>0.72</v>
      </c>
      <c r="R57" s="86">
        <f t="shared" si="66"/>
        <v>18520</v>
      </c>
      <c r="S57" s="87">
        <f t="shared" si="67"/>
        <v>13334</v>
      </c>
      <c r="T57" s="86">
        <f t="shared" si="90"/>
        <v>2778</v>
      </c>
      <c r="U57" s="86">
        <f t="shared" si="39"/>
        <v>300</v>
      </c>
      <c r="V57" s="86"/>
      <c r="W57" s="86">
        <f t="shared" si="68"/>
        <v>34932</v>
      </c>
      <c r="X57" s="87">
        <f t="shared" si="69"/>
        <v>150</v>
      </c>
      <c r="Y57" s="86"/>
      <c r="Z57" s="86"/>
      <c r="AA57" s="88">
        <f t="shared" si="70"/>
        <v>34782</v>
      </c>
      <c r="AB57" s="67"/>
      <c r="AC57" s="68" t="str">
        <f t="shared" si="71"/>
        <v>Oct-2012</v>
      </c>
      <c r="AD57" s="59">
        <f t="shared" si="99"/>
        <v>18520</v>
      </c>
      <c r="AE57" s="56">
        <f>IF(Arrear!$C$7="Y",AF57,IF(Arrear!$C$6="Y",AF57,0))</f>
        <v>18520</v>
      </c>
      <c r="AF57" s="58">
        <f t="shared" si="73"/>
        <v>18520</v>
      </c>
      <c r="AG57" s="58">
        <f t="shared" si="74"/>
        <v>18520</v>
      </c>
      <c r="AH57" s="58">
        <f t="shared" si="75"/>
        <v>19080</v>
      </c>
      <c r="AI57" s="58">
        <f t="shared" ref="AI57" si="103">AH57+IF(MOD(AH57*0.03,10)&gt;=1,AH57*0.03-MOD(AH57*0.03,10)+10,AH57*0.03-MOD(AH57*0.03,10))</f>
        <v>19660</v>
      </c>
      <c r="AJ57" s="69">
        <f t="shared" si="101"/>
        <v>0</v>
      </c>
      <c r="AK57" s="59">
        <f t="shared" si="14"/>
        <v>0</v>
      </c>
      <c r="AL57" s="58">
        <f t="shared" si="22"/>
        <v>0</v>
      </c>
      <c r="AM57" s="69">
        <f t="shared" si="23"/>
        <v>18520</v>
      </c>
    </row>
    <row r="58" spans="1:39" s="70" customFormat="1" ht="15" customHeight="1" x14ac:dyDescent="0.25">
      <c r="A58" s="83">
        <v>41214</v>
      </c>
      <c r="B58" s="84">
        <v>0.45</v>
      </c>
      <c r="C58" s="85">
        <f t="shared" si="15"/>
        <v>18520</v>
      </c>
      <c r="D58" s="86">
        <f t="shared" si="63"/>
        <v>8334</v>
      </c>
      <c r="E58" s="86">
        <f t="shared" si="64"/>
        <v>2778</v>
      </c>
      <c r="F58" s="86">
        <f t="shared" si="89"/>
        <v>300</v>
      </c>
      <c r="G58" s="86"/>
      <c r="H58" s="86">
        <f t="shared" si="16"/>
        <v>29932</v>
      </c>
      <c r="I58" s="87">
        <f t="shared" si="65"/>
        <v>150</v>
      </c>
      <c r="J58" s="86"/>
      <c r="K58" s="86"/>
      <c r="L58" s="88">
        <f t="shared" si="4"/>
        <v>29782</v>
      </c>
      <c r="M58" s="88"/>
      <c r="N58" s="88">
        <f t="shared" si="17"/>
        <v>5000</v>
      </c>
      <c r="O58" s="85"/>
      <c r="P58" s="83">
        <v>41214</v>
      </c>
      <c r="Q58" s="84">
        <f>Q57</f>
        <v>0.72</v>
      </c>
      <c r="R58" s="86">
        <f t="shared" si="66"/>
        <v>18520</v>
      </c>
      <c r="S58" s="87">
        <f t="shared" si="67"/>
        <v>13334</v>
      </c>
      <c r="T58" s="86">
        <f t="shared" si="90"/>
        <v>2778</v>
      </c>
      <c r="U58" s="86">
        <f t="shared" si="39"/>
        <v>300</v>
      </c>
      <c r="V58" s="86"/>
      <c r="W58" s="86">
        <f t="shared" si="68"/>
        <v>34932</v>
      </c>
      <c r="X58" s="87">
        <f t="shared" si="69"/>
        <v>150</v>
      </c>
      <c r="Y58" s="86"/>
      <c r="Z58" s="86"/>
      <c r="AA58" s="88">
        <f t="shared" si="70"/>
        <v>34782</v>
      </c>
      <c r="AB58" s="67"/>
      <c r="AC58" s="68" t="str">
        <f t="shared" si="71"/>
        <v>Nov-2012</v>
      </c>
      <c r="AD58" s="59">
        <f t="shared" si="99"/>
        <v>18520</v>
      </c>
      <c r="AE58" s="56">
        <f>IF(Arrear!$C$7="Y",AF58,IF(Arrear!$C$6="Y",AF58,0))</f>
        <v>18520</v>
      </c>
      <c r="AF58" s="58">
        <f t="shared" si="73"/>
        <v>18520</v>
      </c>
      <c r="AG58" s="58">
        <f t="shared" si="74"/>
        <v>18520</v>
      </c>
      <c r="AH58" s="58">
        <f t="shared" si="75"/>
        <v>19080</v>
      </c>
      <c r="AI58" s="58">
        <f t="shared" ref="AI58" si="104">AH58+IF(MOD(AH58*0.03,10)&gt;=1,AH58*0.03-MOD(AH58*0.03,10)+10,AH58*0.03-MOD(AH58*0.03,10))</f>
        <v>19660</v>
      </c>
      <c r="AJ58" s="69">
        <f t="shared" si="101"/>
        <v>0</v>
      </c>
      <c r="AK58" s="59">
        <f t="shared" si="14"/>
        <v>0</v>
      </c>
      <c r="AL58" s="58">
        <f t="shared" si="22"/>
        <v>0</v>
      </c>
      <c r="AM58" s="69">
        <f t="shared" si="23"/>
        <v>18520</v>
      </c>
    </row>
    <row r="59" spans="1:39" s="70" customFormat="1" ht="15" customHeight="1" x14ac:dyDescent="0.25">
      <c r="A59" s="83">
        <v>41244</v>
      </c>
      <c r="B59" s="84">
        <v>0.45</v>
      </c>
      <c r="C59" s="85">
        <f t="shared" si="15"/>
        <v>18520</v>
      </c>
      <c r="D59" s="86">
        <f t="shared" si="63"/>
        <v>8334</v>
      </c>
      <c r="E59" s="86">
        <f t="shared" si="64"/>
        <v>2778</v>
      </c>
      <c r="F59" s="86">
        <f t="shared" si="89"/>
        <v>300</v>
      </c>
      <c r="G59" s="86"/>
      <c r="H59" s="86">
        <f t="shared" si="16"/>
        <v>29932</v>
      </c>
      <c r="I59" s="87">
        <f t="shared" si="65"/>
        <v>150</v>
      </c>
      <c r="J59" s="86"/>
      <c r="K59" s="86"/>
      <c r="L59" s="88">
        <f t="shared" si="4"/>
        <v>29782</v>
      </c>
      <c r="M59" s="88"/>
      <c r="N59" s="88">
        <f t="shared" si="17"/>
        <v>5000</v>
      </c>
      <c r="O59" s="85"/>
      <c r="P59" s="83">
        <v>41244</v>
      </c>
      <c r="Q59" s="84">
        <f>Q58</f>
        <v>0.72</v>
      </c>
      <c r="R59" s="86">
        <f t="shared" si="66"/>
        <v>18520</v>
      </c>
      <c r="S59" s="87">
        <f t="shared" si="67"/>
        <v>13334</v>
      </c>
      <c r="T59" s="86">
        <f t="shared" si="90"/>
        <v>2778</v>
      </c>
      <c r="U59" s="86">
        <f t="shared" si="39"/>
        <v>300</v>
      </c>
      <c r="V59" s="86"/>
      <c r="W59" s="86">
        <f t="shared" si="68"/>
        <v>34932</v>
      </c>
      <c r="X59" s="87">
        <f t="shared" si="69"/>
        <v>150</v>
      </c>
      <c r="Y59" s="86"/>
      <c r="Z59" s="86"/>
      <c r="AA59" s="88">
        <f t="shared" si="70"/>
        <v>34782</v>
      </c>
      <c r="AB59" s="67"/>
      <c r="AC59" s="68" t="str">
        <f t="shared" si="71"/>
        <v>Dec-2012</v>
      </c>
      <c r="AD59" s="59">
        <f t="shared" si="99"/>
        <v>18520</v>
      </c>
      <c r="AE59" s="56">
        <f>IF(Arrear!$C$7="Y",AF59,IF(Arrear!$C$6="Y",AF59,0))</f>
        <v>18520</v>
      </c>
      <c r="AF59" s="58">
        <f t="shared" si="73"/>
        <v>18520</v>
      </c>
      <c r="AG59" s="58">
        <f t="shared" si="74"/>
        <v>18520</v>
      </c>
      <c r="AH59" s="58">
        <f t="shared" si="75"/>
        <v>19080</v>
      </c>
      <c r="AI59" s="58">
        <f t="shared" ref="AI59" si="105">AH59+IF(MOD(AH59*0.03,10)&gt;=1,AH59*0.03-MOD(AH59*0.03,10)+10,AH59*0.03-MOD(AH59*0.03,10))</f>
        <v>19660</v>
      </c>
      <c r="AJ59" s="69">
        <f t="shared" si="101"/>
        <v>0</v>
      </c>
      <c r="AK59" s="59">
        <f t="shared" si="14"/>
        <v>0</v>
      </c>
      <c r="AL59" s="58">
        <f t="shared" si="22"/>
        <v>0</v>
      </c>
      <c r="AM59" s="69">
        <f t="shared" si="23"/>
        <v>18520</v>
      </c>
    </row>
    <row r="60" spans="1:39" s="70" customFormat="1" ht="15" customHeight="1" x14ac:dyDescent="0.25">
      <c r="A60" s="83">
        <v>41275</v>
      </c>
      <c r="B60" s="84">
        <v>0.52</v>
      </c>
      <c r="C60" s="85">
        <f t="shared" si="15"/>
        <v>18520</v>
      </c>
      <c r="D60" s="86">
        <f t="shared" si="63"/>
        <v>9630</v>
      </c>
      <c r="E60" s="86">
        <f t="shared" si="64"/>
        <v>2778</v>
      </c>
      <c r="F60" s="86">
        <f t="shared" si="89"/>
        <v>300</v>
      </c>
      <c r="G60" s="86"/>
      <c r="H60" s="86">
        <f t="shared" si="16"/>
        <v>31228</v>
      </c>
      <c r="I60" s="87">
        <f t="shared" si="65"/>
        <v>150</v>
      </c>
      <c r="J60" s="86"/>
      <c r="K60" s="86"/>
      <c r="L60" s="88">
        <f t="shared" si="4"/>
        <v>31078</v>
      </c>
      <c r="M60" s="88"/>
      <c r="N60" s="88">
        <f t="shared" si="17"/>
        <v>5186</v>
      </c>
      <c r="O60" s="85"/>
      <c r="P60" s="83">
        <v>41275</v>
      </c>
      <c r="Q60" s="84">
        <v>0.8</v>
      </c>
      <c r="R60" s="86">
        <f t="shared" si="66"/>
        <v>18520</v>
      </c>
      <c r="S60" s="87">
        <f t="shared" si="67"/>
        <v>14816</v>
      </c>
      <c r="T60" s="86">
        <f t="shared" si="90"/>
        <v>2778</v>
      </c>
      <c r="U60" s="86">
        <f t="shared" si="39"/>
        <v>300</v>
      </c>
      <c r="V60" s="86"/>
      <c r="W60" s="86">
        <f t="shared" si="68"/>
        <v>36414</v>
      </c>
      <c r="X60" s="87">
        <f t="shared" si="69"/>
        <v>150</v>
      </c>
      <c r="Y60" s="86"/>
      <c r="Z60" s="86"/>
      <c r="AA60" s="88">
        <f t="shared" si="70"/>
        <v>36264</v>
      </c>
      <c r="AB60" s="67"/>
      <c r="AC60" s="68" t="str">
        <f t="shared" si="71"/>
        <v>Jan-2013</v>
      </c>
      <c r="AD60" s="59">
        <f t="shared" si="99"/>
        <v>18520</v>
      </c>
      <c r="AE60" s="56">
        <f>IF(Arrear!$C$7="Y",AF60,IF(Arrear!$C$6="Y",AF60,0))</f>
        <v>18520</v>
      </c>
      <c r="AF60" s="58">
        <f t="shared" si="73"/>
        <v>18520</v>
      </c>
      <c r="AG60" s="58">
        <f t="shared" si="74"/>
        <v>18520</v>
      </c>
      <c r="AH60" s="58">
        <f t="shared" si="75"/>
        <v>19080</v>
      </c>
      <c r="AI60" s="58">
        <f t="shared" ref="AI60" si="106">AH60+IF(MOD(AH60*0.03,10)&gt;=1,AH60*0.03-MOD(AH60*0.03,10)+10,AH60*0.03-MOD(AH60*0.03,10))</f>
        <v>19660</v>
      </c>
      <c r="AJ60" s="69">
        <f t="shared" si="101"/>
        <v>0</v>
      </c>
      <c r="AK60" s="59">
        <f t="shared" si="14"/>
        <v>0</v>
      </c>
      <c r="AL60" s="58">
        <f t="shared" si="22"/>
        <v>0</v>
      </c>
      <c r="AM60" s="69">
        <f t="shared" si="23"/>
        <v>18520</v>
      </c>
    </row>
    <row r="61" spans="1:39" s="70" customFormat="1" ht="15" customHeight="1" x14ac:dyDescent="0.25">
      <c r="A61" s="83">
        <v>41306</v>
      </c>
      <c r="B61" s="84">
        <v>0.52</v>
      </c>
      <c r="C61" s="85">
        <f t="shared" si="15"/>
        <v>18520</v>
      </c>
      <c r="D61" s="86">
        <f t="shared" si="63"/>
        <v>9630</v>
      </c>
      <c r="E61" s="86">
        <f t="shared" si="64"/>
        <v>2778</v>
      </c>
      <c r="F61" s="86">
        <f t="shared" si="89"/>
        <v>300</v>
      </c>
      <c r="G61" s="86"/>
      <c r="H61" s="86">
        <f t="shared" si="16"/>
        <v>31228</v>
      </c>
      <c r="I61" s="87">
        <f t="shared" si="65"/>
        <v>150</v>
      </c>
      <c r="J61" s="86"/>
      <c r="K61" s="86"/>
      <c r="L61" s="88">
        <f t="shared" si="4"/>
        <v>31078</v>
      </c>
      <c r="M61" s="88"/>
      <c r="N61" s="88">
        <f t="shared" si="17"/>
        <v>5186</v>
      </c>
      <c r="O61" s="85"/>
      <c r="P61" s="83">
        <v>41306</v>
      </c>
      <c r="Q61" s="84">
        <f>Q60</f>
        <v>0.8</v>
      </c>
      <c r="R61" s="86">
        <f t="shared" si="66"/>
        <v>18520</v>
      </c>
      <c r="S61" s="87">
        <f t="shared" si="67"/>
        <v>14816</v>
      </c>
      <c r="T61" s="86">
        <f t="shared" si="90"/>
        <v>2778</v>
      </c>
      <c r="U61" s="86">
        <f t="shared" si="39"/>
        <v>300</v>
      </c>
      <c r="V61" s="86"/>
      <c r="W61" s="86">
        <f t="shared" si="68"/>
        <v>36414</v>
      </c>
      <c r="X61" s="87">
        <f t="shared" si="69"/>
        <v>150</v>
      </c>
      <c r="Y61" s="86"/>
      <c r="Z61" s="86"/>
      <c r="AA61" s="88">
        <f t="shared" si="70"/>
        <v>36264</v>
      </c>
      <c r="AB61" s="67"/>
      <c r="AC61" s="68" t="str">
        <f t="shared" si="71"/>
        <v>Feb-2013</v>
      </c>
      <c r="AD61" s="59">
        <f t="shared" si="99"/>
        <v>18520</v>
      </c>
      <c r="AE61" s="56">
        <f>IF(Arrear!$C$7="Y",AF61,IF(Arrear!$C$6="Y",AF61,0))</f>
        <v>18520</v>
      </c>
      <c r="AF61" s="58">
        <f t="shared" si="73"/>
        <v>18520</v>
      </c>
      <c r="AG61" s="58">
        <f t="shared" si="74"/>
        <v>18520</v>
      </c>
      <c r="AH61" s="58">
        <f t="shared" si="75"/>
        <v>19080</v>
      </c>
      <c r="AI61" s="58">
        <f t="shared" ref="AI61" si="107">AH61+IF(MOD(AH61*0.03,10)&gt;=1,AH61*0.03-MOD(AH61*0.03,10)+10,AH61*0.03-MOD(AH61*0.03,10))</f>
        <v>19660</v>
      </c>
      <c r="AJ61" s="69">
        <f t="shared" si="101"/>
        <v>0</v>
      </c>
      <c r="AK61" s="59">
        <f t="shared" si="14"/>
        <v>0</v>
      </c>
      <c r="AL61" s="58">
        <f t="shared" si="22"/>
        <v>0</v>
      </c>
      <c r="AM61" s="69">
        <f t="shared" si="23"/>
        <v>18520</v>
      </c>
    </row>
    <row r="62" spans="1:39" s="70" customFormat="1" ht="15" customHeight="1" x14ac:dyDescent="0.25">
      <c r="A62" s="83">
        <v>41334</v>
      </c>
      <c r="B62" s="84">
        <v>0.52</v>
      </c>
      <c r="C62" s="85">
        <f t="shared" si="15"/>
        <v>18520</v>
      </c>
      <c r="D62" s="86">
        <f t="shared" si="63"/>
        <v>9630</v>
      </c>
      <c r="E62" s="86">
        <f t="shared" si="64"/>
        <v>2778</v>
      </c>
      <c r="F62" s="86">
        <f t="shared" si="89"/>
        <v>300</v>
      </c>
      <c r="G62" s="86"/>
      <c r="H62" s="86">
        <f t="shared" si="16"/>
        <v>31228</v>
      </c>
      <c r="I62" s="87">
        <f t="shared" si="65"/>
        <v>150</v>
      </c>
      <c r="J62" s="86"/>
      <c r="K62" s="86"/>
      <c r="L62" s="88">
        <f t="shared" si="4"/>
        <v>31078</v>
      </c>
      <c r="M62" s="88"/>
      <c r="N62" s="88">
        <f t="shared" si="17"/>
        <v>5186</v>
      </c>
      <c r="O62" s="85"/>
      <c r="P62" s="83">
        <v>41334</v>
      </c>
      <c r="Q62" s="84">
        <f>Q61</f>
        <v>0.8</v>
      </c>
      <c r="R62" s="86">
        <f t="shared" si="66"/>
        <v>18520</v>
      </c>
      <c r="S62" s="87">
        <f t="shared" si="67"/>
        <v>14816</v>
      </c>
      <c r="T62" s="86">
        <f t="shared" si="90"/>
        <v>2778</v>
      </c>
      <c r="U62" s="86">
        <f t="shared" si="39"/>
        <v>300</v>
      </c>
      <c r="V62" s="86"/>
      <c r="W62" s="86">
        <f t="shared" si="68"/>
        <v>36414</v>
      </c>
      <c r="X62" s="87">
        <f t="shared" si="69"/>
        <v>150</v>
      </c>
      <c r="Y62" s="86"/>
      <c r="Z62" s="86"/>
      <c r="AA62" s="88">
        <f t="shared" si="70"/>
        <v>36264</v>
      </c>
      <c r="AB62" s="67"/>
      <c r="AC62" s="68" t="str">
        <f t="shared" si="71"/>
        <v>Mar-2013</v>
      </c>
      <c r="AD62" s="59">
        <f t="shared" si="99"/>
        <v>18520</v>
      </c>
      <c r="AE62" s="56">
        <f>IF(Arrear!$C$7="Y",AF62,IF(Arrear!$C$6="Y",AF62,0))</f>
        <v>18520</v>
      </c>
      <c r="AF62" s="58">
        <f t="shared" si="73"/>
        <v>18520</v>
      </c>
      <c r="AG62" s="58">
        <f t="shared" si="74"/>
        <v>18520</v>
      </c>
      <c r="AH62" s="58">
        <f t="shared" si="75"/>
        <v>19080</v>
      </c>
      <c r="AI62" s="58">
        <f t="shared" ref="AI62" si="108">AH62+IF(MOD(AH62*0.03,10)&gt;=1,AH62*0.03-MOD(AH62*0.03,10)+10,AH62*0.03-MOD(AH62*0.03,10))</f>
        <v>19660</v>
      </c>
      <c r="AJ62" s="69">
        <f t="shared" si="101"/>
        <v>0</v>
      </c>
      <c r="AK62" s="59">
        <f t="shared" si="14"/>
        <v>0</v>
      </c>
      <c r="AL62" s="58">
        <f t="shared" si="22"/>
        <v>0</v>
      </c>
      <c r="AM62" s="69">
        <f t="shared" si="23"/>
        <v>18520</v>
      </c>
    </row>
    <row r="63" spans="1:39" s="70" customFormat="1" ht="15" customHeight="1" x14ac:dyDescent="0.25">
      <c r="A63" s="83">
        <v>41365</v>
      </c>
      <c r="B63" s="84">
        <v>0.52</v>
      </c>
      <c r="C63" s="85">
        <f t="shared" si="15"/>
        <v>18520</v>
      </c>
      <c r="D63" s="86">
        <f t="shared" si="63"/>
        <v>9630</v>
      </c>
      <c r="E63" s="86">
        <f t="shared" si="64"/>
        <v>2778</v>
      </c>
      <c r="F63" s="86">
        <f t="shared" si="89"/>
        <v>300</v>
      </c>
      <c r="G63" s="86"/>
      <c r="H63" s="86">
        <f t="shared" si="16"/>
        <v>31228</v>
      </c>
      <c r="I63" s="87">
        <f t="shared" si="65"/>
        <v>150</v>
      </c>
      <c r="J63" s="86"/>
      <c r="K63" s="86"/>
      <c r="L63" s="88">
        <f t="shared" si="4"/>
        <v>31078</v>
      </c>
      <c r="M63" s="88"/>
      <c r="N63" s="88">
        <f t="shared" si="17"/>
        <v>5186</v>
      </c>
      <c r="O63" s="85"/>
      <c r="P63" s="83">
        <v>41365</v>
      </c>
      <c r="Q63" s="84">
        <f>Q62</f>
        <v>0.8</v>
      </c>
      <c r="R63" s="86">
        <f t="shared" si="66"/>
        <v>18520</v>
      </c>
      <c r="S63" s="87">
        <f t="shared" si="67"/>
        <v>14816</v>
      </c>
      <c r="T63" s="86">
        <f t="shared" si="90"/>
        <v>2778</v>
      </c>
      <c r="U63" s="86">
        <f t="shared" si="39"/>
        <v>300</v>
      </c>
      <c r="V63" s="86"/>
      <c r="W63" s="86">
        <f t="shared" si="68"/>
        <v>36414</v>
      </c>
      <c r="X63" s="87">
        <f t="shared" si="69"/>
        <v>150</v>
      </c>
      <c r="Y63" s="86"/>
      <c r="Z63" s="86"/>
      <c r="AA63" s="88">
        <f t="shared" si="70"/>
        <v>36264</v>
      </c>
      <c r="AB63" s="67"/>
      <c r="AC63" s="68" t="str">
        <f t="shared" si="71"/>
        <v>Apr-2013</v>
      </c>
      <c r="AD63" s="59">
        <f t="shared" si="99"/>
        <v>18520</v>
      </c>
      <c r="AE63" s="56">
        <f>IF(Arrear!$C$7="Y",AF63,IF(Arrear!$C$6="Y",AF63,0))</f>
        <v>18520</v>
      </c>
      <c r="AF63" s="58">
        <f t="shared" si="73"/>
        <v>18520</v>
      </c>
      <c r="AG63" s="58">
        <f t="shared" si="74"/>
        <v>18520</v>
      </c>
      <c r="AH63" s="58">
        <f t="shared" si="75"/>
        <v>19080</v>
      </c>
      <c r="AI63" s="58">
        <f t="shared" ref="AI63" si="109">AH63+IF(MOD(AH63*0.03,10)&gt;=1,AH63*0.03-MOD(AH63*0.03,10)+10,AH63*0.03-MOD(AH63*0.03,10))</f>
        <v>19660</v>
      </c>
      <c r="AJ63" s="69">
        <f t="shared" si="101"/>
        <v>0</v>
      </c>
      <c r="AK63" s="59">
        <f t="shared" si="14"/>
        <v>0</v>
      </c>
      <c r="AL63" s="58">
        <f t="shared" si="22"/>
        <v>0</v>
      </c>
      <c r="AM63" s="69">
        <f t="shared" si="23"/>
        <v>18520</v>
      </c>
    </row>
    <row r="64" spans="1:39" s="70" customFormat="1" ht="15" customHeight="1" x14ac:dyDescent="0.25">
      <c r="A64" s="83">
        <v>41395</v>
      </c>
      <c r="B64" s="84">
        <v>0.52</v>
      </c>
      <c r="C64" s="85">
        <f t="shared" si="15"/>
        <v>18520</v>
      </c>
      <c r="D64" s="86">
        <f t="shared" si="63"/>
        <v>9630</v>
      </c>
      <c r="E64" s="86">
        <f t="shared" si="64"/>
        <v>2778</v>
      </c>
      <c r="F64" s="86">
        <f t="shared" si="89"/>
        <v>300</v>
      </c>
      <c r="G64" s="86"/>
      <c r="H64" s="86">
        <f t="shared" si="16"/>
        <v>31228</v>
      </c>
      <c r="I64" s="87">
        <f t="shared" si="65"/>
        <v>150</v>
      </c>
      <c r="J64" s="86"/>
      <c r="K64" s="86"/>
      <c r="L64" s="88">
        <f t="shared" si="4"/>
        <v>31078</v>
      </c>
      <c r="M64" s="88"/>
      <c r="N64" s="88">
        <f t="shared" si="17"/>
        <v>5186</v>
      </c>
      <c r="O64" s="85"/>
      <c r="P64" s="83">
        <v>41395</v>
      </c>
      <c r="Q64" s="84">
        <f>Q63</f>
        <v>0.8</v>
      </c>
      <c r="R64" s="86">
        <f t="shared" si="66"/>
        <v>18520</v>
      </c>
      <c r="S64" s="87">
        <f t="shared" si="67"/>
        <v>14816</v>
      </c>
      <c r="T64" s="86">
        <f t="shared" si="90"/>
        <v>2778</v>
      </c>
      <c r="U64" s="86">
        <f t="shared" si="39"/>
        <v>300</v>
      </c>
      <c r="V64" s="86"/>
      <c r="W64" s="86">
        <f t="shared" si="68"/>
        <v>36414</v>
      </c>
      <c r="X64" s="87">
        <f t="shared" si="69"/>
        <v>150</v>
      </c>
      <c r="Y64" s="86"/>
      <c r="Z64" s="86"/>
      <c r="AA64" s="88">
        <f t="shared" si="70"/>
        <v>36264</v>
      </c>
      <c r="AB64" s="67"/>
      <c r="AC64" s="68" t="str">
        <f t="shared" si="71"/>
        <v>May-2013</v>
      </c>
      <c r="AD64" s="59">
        <f t="shared" si="99"/>
        <v>18520</v>
      </c>
      <c r="AE64" s="56">
        <f>IF(Arrear!$C$7="Y",AF64,IF(Arrear!$C$6="Y",AF64,0))</f>
        <v>18520</v>
      </c>
      <c r="AF64" s="58">
        <f t="shared" si="73"/>
        <v>18520</v>
      </c>
      <c r="AG64" s="58">
        <f t="shared" si="74"/>
        <v>18520</v>
      </c>
      <c r="AH64" s="58">
        <f t="shared" si="75"/>
        <v>19080</v>
      </c>
      <c r="AI64" s="58">
        <f t="shared" ref="AI64" si="110">AH64+IF(MOD(AH64*0.03,10)&gt;=1,AH64*0.03-MOD(AH64*0.03,10)+10,AH64*0.03-MOD(AH64*0.03,10))</f>
        <v>19660</v>
      </c>
      <c r="AJ64" s="69">
        <f t="shared" si="101"/>
        <v>0</v>
      </c>
      <c r="AK64" s="59">
        <f t="shared" si="14"/>
        <v>0</v>
      </c>
      <c r="AL64" s="58">
        <f t="shared" si="22"/>
        <v>0</v>
      </c>
      <c r="AM64" s="69">
        <f t="shared" si="23"/>
        <v>18520</v>
      </c>
    </row>
    <row r="65" spans="1:39" s="70" customFormat="1" ht="15" customHeight="1" x14ac:dyDescent="0.25">
      <c r="A65" s="83">
        <v>41426</v>
      </c>
      <c r="B65" s="84">
        <v>0.52</v>
      </c>
      <c r="C65" s="85">
        <f t="shared" si="15"/>
        <v>18520</v>
      </c>
      <c r="D65" s="86">
        <f t="shared" si="63"/>
        <v>9630</v>
      </c>
      <c r="E65" s="86">
        <f t="shared" si="64"/>
        <v>2778</v>
      </c>
      <c r="F65" s="86">
        <f t="shared" si="89"/>
        <v>300</v>
      </c>
      <c r="G65" s="86"/>
      <c r="H65" s="86">
        <f t="shared" si="16"/>
        <v>31228</v>
      </c>
      <c r="I65" s="87">
        <f t="shared" si="65"/>
        <v>150</v>
      </c>
      <c r="J65" s="86"/>
      <c r="K65" s="86"/>
      <c r="L65" s="88">
        <f t="shared" si="4"/>
        <v>31078</v>
      </c>
      <c r="M65" s="88"/>
      <c r="N65" s="88">
        <f t="shared" si="17"/>
        <v>5186</v>
      </c>
      <c r="O65" s="85"/>
      <c r="P65" s="83">
        <v>41426</v>
      </c>
      <c r="Q65" s="84">
        <f>Q64</f>
        <v>0.8</v>
      </c>
      <c r="R65" s="86">
        <f t="shared" si="66"/>
        <v>18520</v>
      </c>
      <c r="S65" s="87">
        <f t="shared" si="67"/>
        <v>14816</v>
      </c>
      <c r="T65" s="86">
        <f t="shared" si="90"/>
        <v>2778</v>
      </c>
      <c r="U65" s="86">
        <f t="shared" si="39"/>
        <v>300</v>
      </c>
      <c r="V65" s="86"/>
      <c r="W65" s="86">
        <f t="shared" si="68"/>
        <v>36414</v>
      </c>
      <c r="X65" s="87">
        <f t="shared" si="69"/>
        <v>150</v>
      </c>
      <c r="Y65" s="86"/>
      <c r="Z65" s="86"/>
      <c r="AA65" s="88">
        <f t="shared" si="70"/>
        <v>36264</v>
      </c>
      <c r="AB65" s="67"/>
      <c r="AC65" s="68" t="str">
        <f t="shared" si="71"/>
        <v>Jun-2013</v>
      </c>
      <c r="AD65" s="59">
        <f t="shared" si="99"/>
        <v>18520</v>
      </c>
      <c r="AE65" s="56">
        <f>IF(Arrear!$C$7="Y",AF65,IF(Arrear!$C$6="Y",AF65,0))</f>
        <v>18520</v>
      </c>
      <c r="AF65" s="58">
        <f t="shared" si="73"/>
        <v>18520</v>
      </c>
      <c r="AG65" s="58">
        <f t="shared" si="74"/>
        <v>18520</v>
      </c>
      <c r="AH65" s="58">
        <f t="shared" si="75"/>
        <v>19080</v>
      </c>
      <c r="AI65" s="58">
        <f t="shared" ref="AI65" si="111">AH65+IF(MOD(AH65*0.03,10)&gt;=1,AH65*0.03-MOD(AH65*0.03,10)+10,AH65*0.03-MOD(AH65*0.03,10))</f>
        <v>19660</v>
      </c>
      <c r="AJ65" s="69">
        <f t="shared" si="101"/>
        <v>0</v>
      </c>
      <c r="AK65" s="59">
        <f t="shared" si="14"/>
        <v>0</v>
      </c>
      <c r="AL65" s="58">
        <f t="shared" si="22"/>
        <v>0</v>
      </c>
      <c r="AM65" s="69">
        <f t="shared" si="23"/>
        <v>18520</v>
      </c>
    </row>
    <row r="66" spans="1:39" s="70" customFormat="1" ht="15" customHeight="1" x14ac:dyDescent="0.25">
      <c r="A66" s="83">
        <v>41456</v>
      </c>
      <c r="B66" s="84">
        <v>0.52</v>
      </c>
      <c r="C66" s="85">
        <f t="shared" si="15"/>
        <v>19080</v>
      </c>
      <c r="D66" s="86">
        <f t="shared" si="63"/>
        <v>9922</v>
      </c>
      <c r="E66" s="86">
        <f t="shared" si="64"/>
        <v>2862</v>
      </c>
      <c r="F66" s="86">
        <f t="shared" si="89"/>
        <v>300</v>
      </c>
      <c r="G66" s="86"/>
      <c r="H66" s="86">
        <f t="shared" si="16"/>
        <v>32164</v>
      </c>
      <c r="I66" s="87">
        <f t="shared" si="65"/>
        <v>150</v>
      </c>
      <c r="J66" s="86"/>
      <c r="K66" s="86"/>
      <c r="L66" s="88">
        <f t="shared" si="4"/>
        <v>32014</v>
      </c>
      <c r="M66" s="88"/>
      <c r="N66" s="88">
        <f t="shared" si="17"/>
        <v>7250</v>
      </c>
      <c r="O66" s="85"/>
      <c r="P66" s="83">
        <v>41456</v>
      </c>
      <c r="Q66" s="84">
        <v>0.9</v>
      </c>
      <c r="R66" s="86">
        <f t="shared" si="66"/>
        <v>19080</v>
      </c>
      <c r="S66" s="87">
        <f t="shared" si="67"/>
        <v>17172</v>
      </c>
      <c r="T66" s="86">
        <f t="shared" si="90"/>
        <v>2862</v>
      </c>
      <c r="U66" s="86">
        <f t="shared" si="39"/>
        <v>300</v>
      </c>
      <c r="V66" s="86"/>
      <c r="W66" s="86">
        <f t="shared" si="68"/>
        <v>39414</v>
      </c>
      <c r="X66" s="87">
        <f t="shared" si="69"/>
        <v>150</v>
      </c>
      <c r="Y66" s="86"/>
      <c r="Z66" s="86"/>
      <c r="AA66" s="88">
        <f t="shared" si="70"/>
        <v>39264</v>
      </c>
      <c r="AB66" s="67"/>
      <c r="AC66" s="68" t="str">
        <f t="shared" si="71"/>
        <v>Jul-2013</v>
      </c>
      <c r="AD66" s="59">
        <f>AD54+IF(MOD(AD54*0.03,10)&gt;=1,AD54*0.03-MOD(AD54*0.03,10)+10,AD54*0.03-MOD(AD54*0.03,10))</f>
        <v>19080</v>
      </c>
      <c r="AE66" s="56">
        <f>IF(Arrear!$C$7="Y",AF66,IF(Arrear!$C$6="Y",AF66,0))</f>
        <v>19080</v>
      </c>
      <c r="AF66" s="58">
        <f t="shared" si="73"/>
        <v>19080</v>
      </c>
      <c r="AG66" s="58">
        <f t="shared" si="74"/>
        <v>19080</v>
      </c>
      <c r="AH66" s="58">
        <f t="shared" si="75"/>
        <v>19660</v>
      </c>
      <c r="AI66" s="58">
        <f t="shared" ref="AI66" si="112">AH66+IF(MOD(AH66*0.03,10)&gt;=1,AH66*0.03-MOD(AH66*0.03,10)+10,AH66*0.03-MOD(AH66*0.03,10))</f>
        <v>20250</v>
      </c>
      <c r="AJ66" s="69">
        <f>IF(TEXT($O$7,"mmm-yyy")=AC66,$M$2,AJ65+IF(MOD(AJ65*0.03,10)&gt;=1,AJ65*0.03-MOD(AJ65*0.03,10)+10,AJ65*0.03-MOD(AJ65*0.03,10)))</f>
        <v>0</v>
      </c>
      <c r="AK66" s="59">
        <f>IF(TEXT($O$7,"mmm-yyy")=AC66,(AJ66-(ROUND(AJ66/(DAY(EOMONTH(A66,0)))*(DAY($O$7)-1),0))),IF(AC65=TEXT($O$7,"mmm-yyy"),AJ66,IF(AK65=0,AJ66,IF(AND(TEXT(A66,"mmm")="Jul",TEXT(A66,"yyy")=TEXT(Arrear!$B$2,"yyy")),AK65,AL65))))</f>
        <v>0</v>
      </c>
      <c r="AL66" s="58">
        <f t="shared" si="22"/>
        <v>0</v>
      </c>
      <c r="AM66" s="69">
        <f t="shared" si="23"/>
        <v>19080</v>
      </c>
    </row>
    <row r="67" spans="1:39" s="70" customFormat="1" ht="15" customHeight="1" x14ac:dyDescent="0.25">
      <c r="A67" s="83">
        <v>41487</v>
      </c>
      <c r="B67" s="84">
        <v>0.52</v>
      </c>
      <c r="C67" s="85">
        <f t="shared" si="15"/>
        <v>19080</v>
      </c>
      <c r="D67" s="86">
        <f t="shared" ref="D67:D98" si="113">ROUND(C67*B67,0)</f>
        <v>9922</v>
      </c>
      <c r="E67" s="86">
        <f t="shared" ref="E67:E98" si="114">C67*0.15</f>
        <v>2862</v>
      </c>
      <c r="F67" s="86">
        <f t="shared" si="89"/>
        <v>300</v>
      </c>
      <c r="G67" s="86"/>
      <c r="H67" s="86">
        <f t="shared" si="16"/>
        <v>32164</v>
      </c>
      <c r="I67" s="87">
        <f t="shared" ref="I67:I98" si="115">IF(H67&gt;40000,200,IF(H67&gt;25000,150,IF(H67&gt;15000,130,IF(H67&gt;9000,110,IF(H67&gt;8000,90,IF(H67&gt;7000,50,IF(H67&gt;6000,45,IF(H67&gt;5000,40,0))))))))</f>
        <v>150</v>
      </c>
      <c r="J67" s="86"/>
      <c r="K67" s="86"/>
      <c r="L67" s="88">
        <f t="shared" ref="L67:L130" si="116">(H67-(I67+J67+K67))</f>
        <v>32014</v>
      </c>
      <c r="M67" s="88"/>
      <c r="N67" s="88">
        <f t="shared" si="17"/>
        <v>7250</v>
      </c>
      <c r="O67" s="85"/>
      <c r="P67" s="83">
        <v>41487</v>
      </c>
      <c r="Q67" s="84">
        <f>Q66</f>
        <v>0.9</v>
      </c>
      <c r="R67" s="86">
        <f t="shared" ref="R67:R98" si="117">C67</f>
        <v>19080</v>
      </c>
      <c r="S67" s="87">
        <f t="shared" ref="S67:S98" si="118">ROUND(R67*Q67,0)</f>
        <v>17172</v>
      </c>
      <c r="T67" s="86">
        <f t="shared" si="90"/>
        <v>2862</v>
      </c>
      <c r="U67" s="86">
        <f t="shared" si="39"/>
        <v>300</v>
      </c>
      <c r="V67" s="86"/>
      <c r="W67" s="86">
        <f t="shared" ref="W67:W101" si="119">SUM(R67:U67)</f>
        <v>39414</v>
      </c>
      <c r="X67" s="87">
        <f t="shared" ref="X67:X98" si="120">IF(W67&gt;40000,200,IF(W67&gt;25000,150,IF(W67&gt;15000,130,IF(W67&gt;9000,110,IF(W67&gt;8000,90,IF(W67&gt;7000,50,IF(W67&gt;6000,45,IF(W67&gt;5000,40,0))))))))</f>
        <v>150</v>
      </c>
      <c r="Y67" s="86"/>
      <c r="Z67" s="86"/>
      <c r="AA67" s="88">
        <f t="shared" ref="AA67:AA98" si="121">(W67-SUM(X67:Z67))</f>
        <v>39264</v>
      </c>
      <c r="AB67" s="67"/>
      <c r="AC67" s="68" t="str">
        <f t="shared" ref="AC67:AC98" si="122">TEXT(A67,"mmm-yyy")</f>
        <v>Aug-2013</v>
      </c>
      <c r="AD67" s="59">
        <f t="shared" ref="AD67:AD77" si="123">AD66</f>
        <v>19080</v>
      </c>
      <c r="AE67" s="56">
        <f>IF(Arrear!$C$7="Y",AF67,IF(Arrear!$C$6="Y",AF67,0))</f>
        <v>19080</v>
      </c>
      <c r="AF67" s="58">
        <f t="shared" si="73"/>
        <v>19080</v>
      </c>
      <c r="AG67" s="58">
        <f t="shared" si="74"/>
        <v>19080</v>
      </c>
      <c r="AH67" s="58">
        <f t="shared" si="75"/>
        <v>19660</v>
      </c>
      <c r="AI67" s="58">
        <f t="shared" ref="AI67" si="124">AH67+IF(MOD(AH67*0.03,10)&gt;=1,AH67*0.03-MOD(AH67*0.03,10)+10,AH67*0.03-MOD(AH67*0.03,10))</f>
        <v>20250</v>
      </c>
      <c r="AJ67" s="69">
        <f t="shared" ref="AJ67:AJ77" si="125">IF(TEXT($O$7,"mmm-yyy")=AC67,$M$2,AJ66)</f>
        <v>0</v>
      </c>
      <c r="AK67" s="59">
        <f t="shared" ref="AK67:AK125" si="126">IF(TEXT($O$7,"mmm-yyy")=AC67,(AJ67-(ROUND(AJ67/(DAY(EOMONTH(A67,0)))*(DAY($O$7)-1),0))),IF(AC66=TEXT($O$7,"mmm-yyy"),AJ67,IF(AK66=0,AJ67,IF(TEXT(A67,"mmm")="Jul",AL66,AK66))))</f>
        <v>0</v>
      </c>
      <c r="AL67" s="58">
        <f t="shared" si="22"/>
        <v>0</v>
      </c>
      <c r="AM67" s="69">
        <f t="shared" si="23"/>
        <v>19080</v>
      </c>
    </row>
    <row r="68" spans="1:39" s="70" customFormat="1" ht="15" customHeight="1" x14ac:dyDescent="0.25">
      <c r="A68" s="83">
        <v>41518</v>
      </c>
      <c r="B68" s="84">
        <v>0.52</v>
      </c>
      <c r="C68" s="85">
        <f t="shared" ref="C68:C131" si="127">AM68</f>
        <v>19080</v>
      </c>
      <c r="D68" s="86">
        <f t="shared" si="113"/>
        <v>9922</v>
      </c>
      <c r="E68" s="86">
        <f t="shared" si="114"/>
        <v>2862</v>
      </c>
      <c r="F68" s="86">
        <f t="shared" si="89"/>
        <v>300</v>
      </c>
      <c r="G68" s="86"/>
      <c r="H68" s="86">
        <f t="shared" ref="H68:H131" si="128">SUM(C68:F68)</f>
        <v>32164</v>
      </c>
      <c r="I68" s="87">
        <f t="shared" si="115"/>
        <v>150</v>
      </c>
      <c r="J68" s="86"/>
      <c r="K68" s="86"/>
      <c r="L68" s="88">
        <f t="shared" si="116"/>
        <v>32014</v>
      </c>
      <c r="M68" s="88"/>
      <c r="N68" s="88">
        <f t="shared" ref="N68:N131" si="129">S68-D68</f>
        <v>7250</v>
      </c>
      <c r="O68" s="85"/>
      <c r="P68" s="83">
        <v>41518</v>
      </c>
      <c r="Q68" s="84">
        <f>Q67</f>
        <v>0.9</v>
      </c>
      <c r="R68" s="86">
        <f t="shared" si="117"/>
        <v>19080</v>
      </c>
      <c r="S68" s="87">
        <f t="shared" si="118"/>
        <v>17172</v>
      </c>
      <c r="T68" s="86">
        <f t="shared" si="90"/>
        <v>2862</v>
      </c>
      <c r="U68" s="86">
        <f t="shared" si="39"/>
        <v>300</v>
      </c>
      <c r="V68" s="86"/>
      <c r="W68" s="86">
        <f t="shared" si="119"/>
        <v>39414</v>
      </c>
      <c r="X68" s="87">
        <f t="shared" si="120"/>
        <v>150</v>
      </c>
      <c r="Y68" s="86"/>
      <c r="Z68" s="86"/>
      <c r="AA68" s="88">
        <f t="shared" si="121"/>
        <v>39264</v>
      </c>
      <c r="AB68" s="67"/>
      <c r="AC68" s="68" t="str">
        <f t="shared" si="122"/>
        <v>Sep-2013</v>
      </c>
      <c r="AD68" s="59">
        <f t="shared" si="123"/>
        <v>19080</v>
      </c>
      <c r="AE68" s="56">
        <f>IF(Arrear!$C$7="Y",AF68,IF(Arrear!$C$6="Y",AF68,0))</f>
        <v>19080</v>
      </c>
      <c r="AF68" s="58">
        <f t="shared" ref="AF68:AF99" si="130">IF(TEXT(A68,"mmm-yyy")=$O$19,$O$18,IF(EOMONTH($O$15,0)+1=A68,$O$17,IF(TEXT(A68,"mmm")&lt;&gt;"Jul",AF67,IF(TEXT(A68,"mmm")="Jul",AH67,AF67))))</f>
        <v>19080</v>
      </c>
      <c r="AG68" s="58">
        <f t="shared" ref="AG68:AG99" si="131">IF(TEXT(A68,"mmm-yyy")=$O$35,$O$34,IF(EOMONTH($O$31,0)+1=A68,$O$33,IF(TEXT(A68,"mmm")&lt;&gt;"Jul",AG67,IF(TEXT(A68,"mmm")="Jul",AH67,AG67))))</f>
        <v>19080</v>
      </c>
      <c r="AH68" s="58">
        <f t="shared" ref="AH68:AH99" si="132">AF68+IF(MOD(AF68*0.03,10)&gt;=1,AF68*0.03-MOD(AF68*0.03,10)+10,AF68*0.03-MOD(AF68*0.03,10))</f>
        <v>19660</v>
      </c>
      <c r="AI68" s="58">
        <f t="shared" ref="AI68" si="133">AH68+IF(MOD(AH68*0.03,10)&gt;=1,AH68*0.03-MOD(AH68*0.03,10)+10,AH68*0.03-MOD(AH68*0.03,10))</f>
        <v>20250</v>
      </c>
      <c r="AJ68" s="69">
        <f t="shared" si="125"/>
        <v>0</v>
      </c>
      <c r="AK68" s="59">
        <f t="shared" si="126"/>
        <v>0</v>
      </c>
      <c r="AL68" s="58">
        <f t="shared" si="22"/>
        <v>0</v>
      </c>
      <c r="AM68" s="69">
        <f t="shared" ref="AM68:AM131" si="134">IF($AM$2="YY",AE68,IF($AM$2="YN",AF68,IF($AM$2="NY",AF68,AK68)))</f>
        <v>19080</v>
      </c>
    </row>
    <row r="69" spans="1:39" s="70" customFormat="1" ht="15" customHeight="1" x14ac:dyDescent="0.25">
      <c r="A69" s="83">
        <v>41548</v>
      </c>
      <c r="B69" s="84">
        <v>0.52</v>
      </c>
      <c r="C69" s="85">
        <f t="shared" si="127"/>
        <v>19080</v>
      </c>
      <c r="D69" s="86">
        <f t="shared" si="113"/>
        <v>9922</v>
      </c>
      <c r="E69" s="86">
        <f t="shared" si="114"/>
        <v>2862</v>
      </c>
      <c r="F69" s="86">
        <f t="shared" si="89"/>
        <v>300</v>
      </c>
      <c r="G69" s="86"/>
      <c r="H69" s="86">
        <f t="shared" si="128"/>
        <v>32164</v>
      </c>
      <c r="I69" s="87">
        <f t="shared" si="115"/>
        <v>150</v>
      </c>
      <c r="J69" s="86"/>
      <c r="K69" s="86"/>
      <c r="L69" s="88">
        <f t="shared" si="116"/>
        <v>32014</v>
      </c>
      <c r="M69" s="88"/>
      <c r="N69" s="88">
        <f t="shared" si="129"/>
        <v>7250</v>
      </c>
      <c r="O69" s="85"/>
      <c r="P69" s="83">
        <v>41548</v>
      </c>
      <c r="Q69" s="84">
        <f>Q68</f>
        <v>0.9</v>
      </c>
      <c r="R69" s="86">
        <f t="shared" si="117"/>
        <v>19080</v>
      </c>
      <c r="S69" s="87">
        <f t="shared" si="118"/>
        <v>17172</v>
      </c>
      <c r="T69" s="86">
        <f t="shared" si="90"/>
        <v>2862</v>
      </c>
      <c r="U69" s="86">
        <f t="shared" si="39"/>
        <v>300</v>
      </c>
      <c r="V69" s="86"/>
      <c r="W69" s="86">
        <f t="shared" si="119"/>
        <v>39414</v>
      </c>
      <c r="X69" s="87">
        <f t="shared" si="120"/>
        <v>150</v>
      </c>
      <c r="Y69" s="86"/>
      <c r="Z69" s="86"/>
      <c r="AA69" s="88">
        <f t="shared" si="121"/>
        <v>39264</v>
      </c>
      <c r="AB69" s="67"/>
      <c r="AC69" s="68" t="str">
        <f t="shared" si="122"/>
        <v>Oct-2013</v>
      </c>
      <c r="AD69" s="59">
        <f t="shared" si="123"/>
        <v>19080</v>
      </c>
      <c r="AE69" s="56">
        <f>IF(Arrear!$C$7="Y",AF69,IF(Arrear!$C$6="Y",AF69,0))</f>
        <v>19080</v>
      </c>
      <c r="AF69" s="58">
        <f t="shared" si="130"/>
        <v>19080</v>
      </c>
      <c r="AG69" s="58">
        <f t="shared" si="131"/>
        <v>19080</v>
      </c>
      <c r="AH69" s="58">
        <f t="shared" si="132"/>
        <v>19660</v>
      </c>
      <c r="AI69" s="58">
        <f t="shared" ref="AI69" si="135">AH69+IF(MOD(AH69*0.03,10)&gt;=1,AH69*0.03-MOD(AH69*0.03,10)+10,AH69*0.03-MOD(AH69*0.03,10))</f>
        <v>20250</v>
      </c>
      <c r="AJ69" s="69">
        <f t="shared" si="125"/>
        <v>0</v>
      </c>
      <c r="AK69" s="59">
        <f t="shared" si="126"/>
        <v>0</v>
      </c>
      <c r="AL69" s="58">
        <f t="shared" ref="AL69:AL122" si="136">AK69+IF(MOD(AK69*0.03,10)&gt;=1,AK69*0.03-MOD(AK69*0.03,10)+10,AK69*0.03-MOD(AK69*0.03,10))</f>
        <v>0</v>
      </c>
      <c r="AM69" s="69">
        <f t="shared" si="134"/>
        <v>19080</v>
      </c>
    </row>
    <row r="70" spans="1:39" s="70" customFormat="1" ht="15" customHeight="1" x14ac:dyDescent="0.25">
      <c r="A70" s="83">
        <v>41579</v>
      </c>
      <c r="B70" s="84">
        <v>0.52</v>
      </c>
      <c r="C70" s="85">
        <f t="shared" si="127"/>
        <v>19080</v>
      </c>
      <c r="D70" s="86">
        <f t="shared" si="113"/>
        <v>9922</v>
      </c>
      <c r="E70" s="86">
        <f t="shared" si="114"/>
        <v>2862</v>
      </c>
      <c r="F70" s="86">
        <f t="shared" si="89"/>
        <v>300</v>
      </c>
      <c r="G70" s="86"/>
      <c r="H70" s="86">
        <f t="shared" si="128"/>
        <v>32164</v>
      </c>
      <c r="I70" s="87">
        <f t="shared" si="115"/>
        <v>150</v>
      </c>
      <c r="J70" s="86"/>
      <c r="K70" s="86"/>
      <c r="L70" s="88">
        <f t="shared" si="116"/>
        <v>32014</v>
      </c>
      <c r="M70" s="88"/>
      <c r="N70" s="88">
        <f t="shared" si="129"/>
        <v>7250</v>
      </c>
      <c r="O70" s="85"/>
      <c r="P70" s="83">
        <v>41579</v>
      </c>
      <c r="Q70" s="84">
        <f>Q69</f>
        <v>0.9</v>
      </c>
      <c r="R70" s="86">
        <f t="shared" si="117"/>
        <v>19080</v>
      </c>
      <c r="S70" s="87">
        <f t="shared" si="118"/>
        <v>17172</v>
      </c>
      <c r="T70" s="86">
        <f t="shared" si="90"/>
        <v>2862</v>
      </c>
      <c r="U70" s="86">
        <f t="shared" si="39"/>
        <v>300</v>
      </c>
      <c r="V70" s="86"/>
      <c r="W70" s="86">
        <f t="shared" si="119"/>
        <v>39414</v>
      </c>
      <c r="X70" s="87">
        <f t="shared" si="120"/>
        <v>150</v>
      </c>
      <c r="Y70" s="86"/>
      <c r="Z70" s="86"/>
      <c r="AA70" s="88">
        <f t="shared" si="121"/>
        <v>39264</v>
      </c>
      <c r="AB70" s="67"/>
      <c r="AC70" s="68" t="str">
        <f t="shared" si="122"/>
        <v>Nov-2013</v>
      </c>
      <c r="AD70" s="59">
        <f t="shared" si="123"/>
        <v>19080</v>
      </c>
      <c r="AE70" s="56">
        <f>IF(Arrear!$C$7="Y",AF70,IF(Arrear!$C$6="Y",AF70,0))</f>
        <v>19080</v>
      </c>
      <c r="AF70" s="58">
        <f t="shared" si="130"/>
        <v>19080</v>
      </c>
      <c r="AG70" s="58">
        <f t="shared" si="131"/>
        <v>19080</v>
      </c>
      <c r="AH70" s="58">
        <f t="shared" si="132"/>
        <v>19660</v>
      </c>
      <c r="AI70" s="58">
        <f t="shared" ref="AI70" si="137">AH70+IF(MOD(AH70*0.03,10)&gt;=1,AH70*0.03-MOD(AH70*0.03,10)+10,AH70*0.03-MOD(AH70*0.03,10))</f>
        <v>20250</v>
      </c>
      <c r="AJ70" s="69">
        <f t="shared" si="125"/>
        <v>0</v>
      </c>
      <c r="AK70" s="59">
        <f t="shared" si="126"/>
        <v>0</v>
      </c>
      <c r="AL70" s="58">
        <f t="shared" si="136"/>
        <v>0</v>
      </c>
      <c r="AM70" s="69">
        <f t="shared" si="134"/>
        <v>19080</v>
      </c>
    </row>
    <row r="71" spans="1:39" s="70" customFormat="1" ht="15" customHeight="1" x14ac:dyDescent="0.25">
      <c r="A71" s="83">
        <v>41609</v>
      </c>
      <c r="B71" s="84">
        <v>0.52</v>
      </c>
      <c r="C71" s="85">
        <f t="shared" si="127"/>
        <v>19080</v>
      </c>
      <c r="D71" s="86">
        <f t="shared" si="113"/>
        <v>9922</v>
      </c>
      <c r="E71" s="86">
        <f t="shared" si="114"/>
        <v>2862</v>
      </c>
      <c r="F71" s="86">
        <f t="shared" si="89"/>
        <v>300</v>
      </c>
      <c r="G71" s="86"/>
      <c r="H71" s="86">
        <f t="shared" si="128"/>
        <v>32164</v>
      </c>
      <c r="I71" s="87">
        <f t="shared" si="115"/>
        <v>150</v>
      </c>
      <c r="J71" s="86"/>
      <c r="K71" s="86"/>
      <c r="L71" s="88">
        <f t="shared" si="116"/>
        <v>32014</v>
      </c>
      <c r="M71" s="88"/>
      <c r="N71" s="88">
        <f t="shared" si="129"/>
        <v>7250</v>
      </c>
      <c r="O71" s="85"/>
      <c r="P71" s="83">
        <v>41609</v>
      </c>
      <c r="Q71" s="84">
        <f>Q70</f>
        <v>0.9</v>
      </c>
      <c r="R71" s="86">
        <f t="shared" si="117"/>
        <v>19080</v>
      </c>
      <c r="S71" s="87">
        <f t="shared" si="118"/>
        <v>17172</v>
      </c>
      <c r="T71" s="86">
        <f t="shared" si="90"/>
        <v>2862</v>
      </c>
      <c r="U71" s="86">
        <f t="shared" si="39"/>
        <v>300</v>
      </c>
      <c r="V71" s="86"/>
      <c r="W71" s="86">
        <f t="shared" si="119"/>
        <v>39414</v>
      </c>
      <c r="X71" s="87">
        <f t="shared" si="120"/>
        <v>150</v>
      </c>
      <c r="Y71" s="86"/>
      <c r="Z71" s="86"/>
      <c r="AA71" s="88">
        <f t="shared" si="121"/>
        <v>39264</v>
      </c>
      <c r="AB71" s="67"/>
      <c r="AC71" s="68" t="str">
        <f t="shared" si="122"/>
        <v>Dec-2013</v>
      </c>
      <c r="AD71" s="59">
        <f t="shared" si="123"/>
        <v>19080</v>
      </c>
      <c r="AE71" s="56">
        <f>IF(Arrear!$C$7="Y",AF71,IF(Arrear!$C$6="Y",AF71,0))</f>
        <v>19080</v>
      </c>
      <c r="AF71" s="58">
        <f t="shared" si="130"/>
        <v>19080</v>
      </c>
      <c r="AG71" s="58">
        <f t="shared" si="131"/>
        <v>19080</v>
      </c>
      <c r="AH71" s="58">
        <f t="shared" si="132"/>
        <v>19660</v>
      </c>
      <c r="AI71" s="58">
        <f t="shared" ref="AI71" si="138">AH71+IF(MOD(AH71*0.03,10)&gt;=1,AH71*0.03-MOD(AH71*0.03,10)+10,AH71*0.03-MOD(AH71*0.03,10))</f>
        <v>20250</v>
      </c>
      <c r="AJ71" s="69">
        <f t="shared" si="125"/>
        <v>0</v>
      </c>
      <c r="AK71" s="59">
        <f t="shared" si="126"/>
        <v>0</v>
      </c>
      <c r="AL71" s="58">
        <f t="shared" si="136"/>
        <v>0</v>
      </c>
      <c r="AM71" s="69">
        <f t="shared" si="134"/>
        <v>19080</v>
      </c>
    </row>
    <row r="72" spans="1:39" s="70" customFormat="1" ht="15" customHeight="1" x14ac:dyDescent="0.25">
      <c r="A72" s="83">
        <v>41640</v>
      </c>
      <c r="B72" s="84">
        <v>0.57999999999999996</v>
      </c>
      <c r="C72" s="85">
        <f t="shared" si="127"/>
        <v>19080</v>
      </c>
      <c r="D72" s="86">
        <f t="shared" si="113"/>
        <v>11066</v>
      </c>
      <c r="E72" s="86">
        <f t="shared" si="114"/>
        <v>2862</v>
      </c>
      <c r="F72" s="86">
        <f t="shared" si="89"/>
        <v>300</v>
      </c>
      <c r="G72" s="86"/>
      <c r="H72" s="86">
        <f t="shared" si="128"/>
        <v>33308</v>
      </c>
      <c r="I72" s="87">
        <f t="shared" si="115"/>
        <v>150</v>
      </c>
      <c r="J72" s="86"/>
      <c r="K72" s="86"/>
      <c r="L72" s="88">
        <f t="shared" si="116"/>
        <v>33158</v>
      </c>
      <c r="M72" s="88"/>
      <c r="N72" s="88">
        <f t="shared" si="129"/>
        <v>8014</v>
      </c>
      <c r="O72" s="85"/>
      <c r="P72" s="83">
        <v>41640</v>
      </c>
      <c r="Q72" s="84">
        <v>1</v>
      </c>
      <c r="R72" s="86">
        <f t="shared" si="117"/>
        <v>19080</v>
      </c>
      <c r="S72" s="87">
        <f t="shared" si="118"/>
        <v>19080</v>
      </c>
      <c r="T72" s="86">
        <f t="shared" si="90"/>
        <v>2862</v>
      </c>
      <c r="U72" s="86">
        <f t="shared" si="39"/>
        <v>300</v>
      </c>
      <c r="V72" s="86"/>
      <c r="W72" s="86">
        <f t="shared" si="119"/>
        <v>41322</v>
      </c>
      <c r="X72" s="87">
        <f t="shared" si="120"/>
        <v>200</v>
      </c>
      <c r="Y72" s="86"/>
      <c r="Z72" s="86"/>
      <c r="AA72" s="88">
        <f t="shared" si="121"/>
        <v>41122</v>
      </c>
      <c r="AB72" s="67"/>
      <c r="AC72" s="68" t="str">
        <f t="shared" si="122"/>
        <v>Jan-2014</v>
      </c>
      <c r="AD72" s="59">
        <f t="shared" si="123"/>
        <v>19080</v>
      </c>
      <c r="AE72" s="56">
        <f>IF(Arrear!$C$7="Y",AF72,IF(Arrear!$C$6="Y",AF72,0))</f>
        <v>19080</v>
      </c>
      <c r="AF72" s="58">
        <f t="shared" si="130"/>
        <v>19080</v>
      </c>
      <c r="AG72" s="58">
        <f t="shared" si="131"/>
        <v>19080</v>
      </c>
      <c r="AH72" s="58">
        <f t="shared" si="132"/>
        <v>19660</v>
      </c>
      <c r="AI72" s="58">
        <f t="shared" ref="AI72" si="139">AH72+IF(MOD(AH72*0.03,10)&gt;=1,AH72*0.03-MOD(AH72*0.03,10)+10,AH72*0.03-MOD(AH72*0.03,10))</f>
        <v>20250</v>
      </c>
      <c r="AJ72" s="69">
        <f t="shared" si="125"/>
        <v>0</v>
      </c>
      <c r="AK72" s="59">
        <f t="shared" si="126"/>
        <v>0</v>
      </c>
      <c r="AL72" s="58">
        <f t="shared" si="136"/>
        <v>0</v>
      </c>
      <c r="AM72" s="69">
        <f t="shared" si="134"/>
        <v>19080</v>
      </c>
    </row>
    <row r="73" spans="1:39" s="70" customFormat="1" ht="15" customHeight="1" x14ac:dyDescent="0.25">
      <c r="A73" s="83">
        <v>41671</v>
      </c>
      <c r="B73" s="84">
        <v>0.57999999999999996</v>
      </c>
      <c r="C73" s="85">
        <f t="shared" si="127"/>
        <v>19080</v>
      </c>
      <c r="D73" s="86">
        <f t="shared" si="113"/>
        <v>11066</v>
      </c>
      <c r="E73" s="86">
        <f t="shared" si="114"/>
        <v>2862</v>
      </c>
      <c r="F73" s="86">
        <f t="shared" si="89"/>
        <v>300</v>
      </c>
      <c r="G73" s="86"/>
      <c r="H73" s="86">
        <f t="shared" si="128"/>
        <v>33308</v>
      </c>
      <c r="I73" s="87">
        <f t="shared" si="115"/>
        <v>150</v>
      </c>
      <c r="J73" s="86"/>
      <c r="K73" s="86"/>
      <c r="L73" s="88">
        <f t="shared" si="116"/>
        <v>33158</v>
      </c>
      <c r="M73" s="88"/>
      <c r="N73" s="88">
        <f t="shared" si="129"/>
        <v>8014</v>
      </c>
      <c r="O73" s="85"/>
      <c r="P73" s="83">
        <v>41671</v>
      </c>
      <c r="Q73" s="84">
        <f>Q72</f>
        <v>1</v>
      </c>
      <c r="R73" s="86">
        <f t="shared" si="117"/>
        <v>19080</v>
      </c>
      <c r="S73" s="87">
        <f t="shared" si="118"/>
        <v>19080</v>
      </c>
      <c r="T73" s="86">
        <f t="shared" si="90"/>
        <v>2862</v>
      </c>
      <c r="U73" s="86">
        <f t="shared" si="39"/>
        <v>300</v>
      </c>
      <c r="V73" s="86"/>
      <c r="W73" s="86">
        <f t="shared" si="119"/>
        <v>41322</v>
      </c>
      <c r="X73" s="87">
        <f t="shared" si="120"/>
        <v>200</v>
      </c>
      <c r="Y73" s="86"/>
      <c r="Z73" s="86"/>
      <c r="AA73" s="88">
        <f t="shared" si="121"/>
        <v>41122</v>
      </c>
      <c r="AB73" s="67"/>
      <c r="AC73" s="68" t="str">
        <f t="shared" si="122"/>
        <v>Feb-2014</v>
      </c>
      <c r="AD73" s="61">
        <f t="shared" si="123"/>
        <v>19080</v>
      </c>
      <c r="AE73" s="56">
        <f>IF(Arrear!$C$7="Y",AF73,IF(Arrear!$C$6="Y",AF73,0))</f>
        <v>19080</v>
      </c>
      <c r="AF73" s="58">
        <f t="shared" si="130"/>
        <v>19080</v>
      </c>
      <c r="AG73" s="58">
        <f t="shared" si="131"/>
        <v>19080</v>
      </c>
      <c r="AH73" s="58">
        <f t="shared" si="132"/>
        <v>19660</v>
      </c>
      <c r="AI73" s="58">
        <f t="shared" ref="AI73" si="140">AH73+IF(MOD(AH73*0.03,10)&gt;=1,AH73*0.03-MOD(AH73*0.03,10)+10,AH73*0.03-MOD(AH73*0.03,10))</f>
        <v>20250</v>
      </c>
      <c r="AJ73" s="69">
        <f t="shared" si="125"/>
        <v>0</v>
      </c>
      <c r="AK73" s="59">
        <f t="shared" si="126"/>
        <v>0</v>
      </c>
      <c r="AL73" s="58">
        <f t="shared" si="136"/>
        <v>0</v>
      </c>
      <c r="AM73" s="69">
        <f t="shared" si="134"/>
        <v>19080</v>
      </c>
    </row>
    <row r="74" spans="1:39" s="70" customFormat="1" ht="15" customHeight="1" x14ac:dyDescent="0.25">
      <c r="A74" s="83">
        <v>41699</v>
      </c>
      <c r="B74" s="84">
        <v>0.57999999999999996</v>
      </c>
      <c r="C74" s="85">
        <f t="shared" si="127"/>
        <v>19080</v>
      </c>
      <c r="D74" s="86">
        <f t="shared" si="113"/>
        <v>11066</v>
      </c>
      <c r="E74" s="86">
        <f t="shared" si="114"/>
        <v>2862</v>
      </c>
      <c r="F74" s="86">
        <f t="shared" si="89"/>
        <v>300</v>
      </c>
      <c r="G74" s="86"/>
      <c r="H74" s="86">
        <f t="shared" si="128"/>
        <v>33308</v>
      </c>
      <c r="I74" s="87">
        <f t="shared" si="115"/>
        <v>150</v>
      </c>
      <c r="J74" s="86"/>
      <c r="K74" s="86"/>
      <c r="L74" s="88">
        <f t="shared" si="116"/>
        <v>33158</v>
      </c>
      <c r="M74" s="88"/>
      <c r="N74" s="88">
        <f t="shared" si="129"/>
        <v>8014</v>
      </c>
      <c r="O74" s="85"/>
      <c r="P74" s="83">
        <v>41699</v>
      </c>
      <c r="Q74" s="84">
        <f>Q73</f>
        <v>1</v>
      </c>
      <c r="R74" s="86">
        <f t="shared" si="117"/>
        <v>19080</v>
      </c>
      <c r="S74" s="87">
        <f t="shared" si="118"/>
        <v>19080</v>
      </c>
      <c r="T74" s="86">
        <f t="shared" si="90"/>
        <v>2862</v>
      </c>
      <c r="U74" s="86">
        <f t="shared" si="39"/>
        <v>300</v>
      </c>
      <c r="V74" s="86"/>
      <c r="W74" s="86">
        <f t="shared" si="119"/>
        <v>41322</v>
      </c>
      <c r="X74" s="87">
        <f t="shared" si="120"/>
        <v>200</v>
      </c>
      <c r="Y74" s="86"/>
      <c r="Z74" s="86"/>
      <c r="AA74" s="88">
        <f t="shared" si="121"/>
        <v>41122</v>
      </c>
      <c r="AB74" s="67"/>
      <c r="AC74" s="68" t="str">
        <f t="shared" si="122"/>
        <v>Mar-2014</v>
      </c>
      <c r="AD74" s="59">
        <f t="shared" si="123"/>
        <v>19080</v>
      </c>
      <c r="AE74" s="56">
        <f>IF(Arrear!$C$7="Y",AF74,IF(Arrear!$C$6="Y",AF74,0))</f>
        <v>19080</v>
      </c>
      <c r="AF74" s="58">
        <f t="shared" si="130"/>
        <v>19080</v>
      </c>
      <c r="AG74" s="58">
        <f t="shared" si="131"/>
        <v>19080</v>
      </c>
      <c r="AH74" s="58">
        <f t="shared" si="132"/>
        <v>19660</v>
      </c>
      <c r="AI74" s="58">
        <f t="shared" ref="AI74" si="141">AH74+IF(MOD(AH74*0.03,10)&gt;=1,AH74*0.03-MOD(AH74*0.03,10)+10,AH74*0.03-MOD(AH74*0.03,10))</f>
        <v>20250</v>
      </c>
      <c r="AJ74" s="69">
        <f t="shared" si="125"/>
        <v>0</v>
      </c>
      <c r="AK74" s="59">
        <f t="shared" si="126"/>
        <v>0</v>
      </c>
      <c r="AL74" s="58">
        <f t="shared" si="136"/>
        <v>0</v>
      </c>
      <c r="AM74" s="69">
        <f t="shared" si="134"/>
        <v>19080</v>
      </c>
    </row>
    <row r="75" spans="1:39" s="70" customFormat="1" ht="15" customHeight="1" x14ac:dyDescent="0.25">
      <c r="A75" s="83">
        <v>41730</v>
      </c>
      <c r="B75" s="84">
        <v>0.57999999999999996</v>
      </c>
      <c r="C75" s="85">
        <f t="shared" si="127"/>
        <v>19080</v>
      </c>
      <c r="D75" s="86">
        <f t="shared" si="113"/>
        <v>11066</v>
      </c>
      <c r="E75" s="86">
        <f t="shared" si="114"/>
        <v>2862</v>
      </c>
      <c r="F75" s="86">
        <f t="shared" si="89"/>
        <v>300</v>
      </c>
      <c r="G75" s="86"/>
      <c r="H75" s="86">
        <f t="shared" si="128"/>
        <v>33308</v>
      </c>
      <c r="I75" s="87">
        <f t="shared" si="115"/>
        <v>150</v>
      </c>
      <c r="J75" s="86"/>
      <c r="K75" s="86"/>
      <c r="L75" s="88">
        <f t="shared" si="116"/>
        <v>33158</v>
      </c>
      <c r="M75" s="88"/>
      <c r="N75" s="88">
        <f t="shared" si="129"/>
        <v>8014</v>
      </c>
      <c r="O75" s="85"/>
      <c r="P75" s="83">
        <v>41730</v>
      </c>
      <c r="Q75" s="84">
        <f>Q74</f>
        <v>1</v>
      </c>
      <c r="R75" s="86">
        <f t="shared" si="117"/>
        <v>19080</v>
      </c>
      <c r="S75" s="87">
        <f t="shared" si="118"/>
        <v>19080</v>
      </c>
      <c r="T75" s="86">
        <f t="shared" si="90"/>
        <v>2862</v>
      </c>
      <c r="U75" s="86">
        <f t="shared" si="39"/>
        <v>300</v>
      </c>
      <c r="V75" s="86"/>
      <c r="W75" s="86">
        <f t="shared" si="119"/>
        <v>41322</v>
      </c>
      <c r="X75" s="87">
        <f t="shared" si="120"/>
        <v>200</v>
      </c>
      <c r="Y75" s="86"/>
      <c r="Z75" s="86"/>
      <c r="AA75" s="88">
        <f t="shared" si="121"/>
        <v>41122</v>
      </c>
      <c r="AB75" s="67"/>
      <c r="AC75" s="68" t="str">
        <f t="shared" si="122"/>
        <v>Apr-2014</v>
      </c>
      <c r="AD75" s="59">
        <f t="shared" si="123"/>
        <v>19080</v>
      </c>
      <c r="AE75" s="56">
        <f>IF(Arrear!$C$7="Y",AF75,IF(Arrear!$C$6="Y",AF75,0))</f>
        <v>19080</v>
      </c>
      <c r="AF75" s="58">
        <f t="shared" si="130"/>
        <v>19080</v>
      </c>
      <c r="AG75" s="58">
        <f t="shared" si="131"/>
        <v>19080</v>
      </c>
      <c r="AH75" s="58">
        <f t="shared" si="132"/>
        <v>19660</v>
      </c>
      <c r="AI75" s="58">
        <f t="shared" ref="AI75" si="142">AH75+IF(MOD(AH75*0.03,10)&gt;=1,AH75*0.03-MOD(AH75*0.03,10)+10,AH75*0.03-MOD(AH75*0.03,10))</f>
        <v>20250</v>
      </c>
      <c r="AJ75" s="69">
        <f t="shared" si="125"/>
        <v>0</v>
      </c>
      <c r="AK75" s="59">
        <f t="shared" si="126"/>
        <v>0</v>
      </c>
      <c r="AL75" s="58">
        <f t="shared" si="136"/>
        <v>0</v>
      </c>
      <c r="AM75" s="69">
        <f t="shared" si="134"/>
        <v>19080</v>
      </c>
    </row>
    <row r="76" spans="1:39" s="70" customFormat="1" ht="15" customHeight="1" x14ac:dyDescent="0.25">
      <c r="A76" s="83">
        <v>41760</v>
      </c>
      <c r="B76" s="84">
        <v>0.57999999999999996</v>
      </c>
      <c r="C76" s="85">
        <f t="shared" si="127"/>
        <v>19080</v>
      </c>
      <c r="D76" s="86">
        <f t="shared" si="113"/>
        <v>11066</v>
      </c>
      <c r="E76" s="86">
        <f t="shared" si="114"/>
        <v>2862</v>
      </c>
      <c r="F76" s="86">
        <f t="shared" si="89"/>
        <v>300</v>
      </c>
      <c r="G76" s="86"/>
      <c r="H76" s="86">
        <f t="shared" si="128"/>
        <v>33308</v>
      </c>
      <c r="I76" s="87">
        <f t="shared" si="115"/>
        <v>150</v>
      </c>
      <c r="J76" s="86"/>
      <c r="K76" s="86"/>
      <c r="L76" s="88">
        <f t="shared" si="116"/>
        <v>33158</v>
      </c>
      <c r="M76" s="88"/>
      <c r="N76" s="88">
        <f t="shared" si="129"/>
        <v>8014</v>
      </c>
      <c r="O76" s="85"/>
      <c r="P76" s="83">
        <v>41760</v>
      </c>
      <c r="Q76" s="84">
        <f>Q75</f>
        <v>1</v>
      </c>
      <c r="R76" s="86">
        <f t="shared" si="117"/>
        <v>19080</v>
      </c>
      <c r="S76" s="87">
        <f t="shared" si="118"/>
        <v>19080</v>
      </c>
      <c r="T76" s="86">
        <f t="shared" si="90"/>
        <v>2862</v>
      </c>
      <c r="U76" s="86">
        <f t="shared" si="39"/>
        <v>300</v>
      </c>
      <c r="V76" s="86"/>
      <c r="W76" s="86">
        <f t="shared" si="119"/>
        <v>41322</v>
      </c>
      <c r="X76" s="87">
        <f t="shared" si="120"/>
        <v>200</v>
      </c>
      <c r="Y76" s="86"/>
      <c r="Z76" s="86"/>
      <c r="AA76" s="88">
        <f t="shared" si="121"/>
        <v>41122</v>
      </c>
      <c r="AB76" s="67"/>
      <c r="AC76" s="68" t="str">
        <f t="shared" si="122"/>
        <v>May-2014</v>
      </c>
      <c r="AD76" s="59">
        <f t="shared" si="123"/>
        <v>19080</v>
      </c>
      <c r="AE76" s="56">
        <f>IF(Arrear!$C$7="Y",AF76,IF(Arrear!$C$6="Y",AF76,0))</f>
        <v>19080</v>
      </c>
      <c r="AF76" s="58">
        <f t="shared" si="130"/>
        <v>19080</v>
      </c>
      <c r="AG76" s="58">
        <f t="shared" si="131"/>
        <v>19080</v>
      </c>
      <c r="AH76" s="58">
        <f t="shared" si="132"/>
        <v>19660</v>
      </c>
      <c r="AI76" s="58">
        <f t="shared" ref="AI76" si="143">AH76+IF(MOD(AH76*0.03,10)&gt;=1,AH76*0.03-MOD(AH76*0.03,10)+10,AH76*0.03-MOD(AH76*0.03,10))</f>
        <v>20250</v>
      </c>
      <c r="AJ76" s="69">
        <f t="shared" si="125"/>
        <v>0</v>
      </c>
      <c r="AK76" s="59">
        <f t="shared" si="126"/>
        <v>0</v>
      </c>
      <c r="AL76" s="58">
        <f t="shared" si="136"/>
        <v>0</v>
      </c>
      <c r="AM76" s="69">
        <f t="shared" si="134"/>
        <v>19080</v>
      </c>
    </row>
    <row r="77" spans="1:39" s="70" customFormat="1" ht="15" customHeight="1" x14ac:dyDescent="0.25">
      <c r="A77" s="83">
        <v>41791</v>
      </c>
      <c r="B77" s="84">
        <v>0.57999999999999996</v>
      </c>
      <c r="C77" s="85">
        <f t="shared" si="127"/>
        <v>19080</v>
      </c>
      <c r="D77" s="86">
        <f t="shared" si="113"/>
        <v>11066</v>
      </c>
      <c r="E77" s="86">
        <f t="shared" si="114"/>
        <v>2862</v>
      </c>
      <c r="F77" s="86">
        <f t="shared" si="89"/>
        <v>300</v>
      </c>
      <c r="G77" s="86"/>
      <c r="H77" s="86">
        <f t="shared" si="128"/>
        <v>33308</v>
      </c>
      <c r="I77" s="87">
        <f t="shared" si="115"/>
        <v>150</v>
      </c>
      <c r="J77" s="86"/>
      <c r="K77" s="86"/>
      <c r="L77" s="88">
        <f t="shared" si="116"/>
        <v>33158</v>
      </c>
      <c r="M77" s="88"/>
      <c r="N77" s="88">
        <f t="shared" si="129"/>
        <v>8014</v>
      </c>
      <c r="O77" s="85"/>
      <c r="P77" s="83">
        <v>41791</v>
      </c>
      <c r="Q77" s="84">
        <f>Q76</f>
        <v>1</v>
      </c>
      <c r="R77" s="86">
        <f t="shared" si="117"/>
        <v>19080</v>
      </c>
      <c r="S77" s="87">
        <f t="shared" si="118"/>
        <v>19080</v>
      </c>
      <c r="T77" s="86">
        <f t="shared" si="90"/>
        <v>2862</v>
      </c>
      <c r="U77" s="86">
        <f t="shared" si="39"/>
        <v>300</v>
      </c>
      <c r="V77" s="86"/>
      <c r="W77" s="86">
        <f t="shared" si="119"/>
        <v>41322</v>
      </c>
      <c r="X77" s="87">
        <f t="shared" si="120"/>
        <v>200</v>
      </c>
      <c r="Y77" s="86"/>
      <c r="Z77" s="86"/>
      <c r="AA77" s="88">
        <f t="shared" si="121"/>
        <v>41122</v>
      </c>
      <c r="AB77" s="67"/>
      <c r="AC77" s="68" t="str">
        <f t="shared" si="122"/>
        <v>Jun-2014</v>
      </c>
      <c r="AD77" s="59">
        <f t="shared" si="123"/>
        <v>19080</v>
      </c>
      <c r="AE77" s="56">
        <f>IF(Arrear!$C$7="Y",AF77,IF(Arrear!$C$6="Y",AF77,0))</f>
        <v>19080</v>
      </c>
      <c r="AF77" s="58">
        <f t="shared" si="130"/>
        <v>19080</v>
      </c>
      <c r="AG77" s="58">
        <f t="shared" si="131"/>
        <v>19080</v>
      </c>
      <c r="AH77" s="58">
        <f t="shared" si="132"/>
        <v>19660</v>
      </c>
      <c r="AI77" s="58">
        <f t="shared" ref="AI77" si="144">AH77+IF(MOD(AH77*0.03,10)&gt;=1,AH77*0.03-MOD(AH77*0.03,10)+10,AH77*0.03-MOD(AH77*0.03,10))</f>
        <v>20250</v>
      </c>
      <c r="AJ77" s="69">
        <f t="shared" si="125"/>
        <v>0</v>
      </c>
      <c r="AK77" s="59">
        <f t="shared" si="126"/>
        <v>0</v>
      </c>
      <c r="AL77" s="58">
        <f t="shared" si="136"/>
        <v>0</v>
      </c>
      <c r="AM77" s="69">
        <f t="shared" si="134"/>
        <v>19080</v>
      </c>
    </row>
    <row r="78" spans="1:39" s="70" customFormat="1" ht="15" customHeight="1" x14ac:dyDescent="0.25">
      <c r="A78" s="83">
        <v>41821</v>
      </c>
      <c r="B78" s="84">
        <v>0.57999999999999996</v>
      </c>
      <c r="C78" s="85">
        <f t="shared" si="127"/>
        <v>19660</v>
      </c>
      <c r="D78" s="86">
        <f t="shared" si="113"/>
        <v>11403</v>
      </c>
      <c r="E78" s="86">
        <f t="shared" si="114"/>
        <v>2949</v>
      </c>
      <c r="F78" s="86">
        <f t="shared" si="89"/>
        <v>300</v>
      </c>
      <c r="G78" s="86"/>
      <c r="H78" s="86">
        <f t="shared" si="128"/>
        <v>34312</v>
      </c>
      <c r="I78" s="87">
        <f t="shared" si="115"/>
        <v>150</v>
      </c>
      <c r="J78" s="86"/>
      <c r="K78" s="86"/>
      <c r="L78" s="88">
        <f t="shared" si="116"/>
        <v>34162</v>
      </c>
      <c r="M78" s="88"/>
      <c r="N78" s="88">
        <f t="shared" si="129"/>
        <v>9633</v>
      </c>
      <c r="O78" s="85"/>
      <c r="P78" s="83">
        <v>41821</v>
      </c>
      <c r="Q78" s="84">
        <v>1.07</v>
      </c>
      <c r="R78" s="86">
        <f t="shared" si="117"/>
        <v>19660</v>
      </c>
      <c r="S78" s="87">
        <f t="shared" si="118"/>
        <v>21036</v>
      </c>
      <c r="T78" s="86">
        <f t="shared" si="90"/>
        <v>2949</v>
      </c>
      <c r="U78" s="86">
        <f t="shared" si="39"/>
        <v>300</v>
      </c>
      <c r="V78" s="86"/>
      <c r="W78" s="86">
        <f t="shared" si="119"/>
        <v>43945</v>
      </c>
      <c r="X78" s="87">
        <f t="shared" si="120"/>
        <v>200</v>
      </c>
      <c r="Y78" s="86"/>
      <c r="Z78" s="86"/>
      <c r="AA78" s="88">
        <f t="shared" si="121"/>
        <v>43745</v>
      </c>
      <c r="AB78" s="67"/>
      <c r="AC78" s="68" t="str">
        <f t="shared" si="122"/>
        <v>Jul-2014</v>
      </c>
      <c r="AD78" s="59">
        <f>AD66+IF(MOD(AD66*0.03,10)&gt;=1,AD66*0.03-MOD(AD66*0.03,10)+10,AD66*0.03-MOD(AD66*0.03,10))</f>
        <v>19660</v>
      </c>
      <c r="AE78" s="56">
        <f>IF(Arrear!$C$7="Y",AF78,IF(Arrear!$C$6="Y",AF78,0))</f>
        <v>19660</v>
      </c>
      <c r="AF78" s="58">
        <f t="shared" si="130"/>
        <v>19660</v>
      </c>
      <c r="AG78" s="58">
        <f t="shared" si="131"/>
        <v>19660</v>
      </c>
      <c r="AH78" s="58">
        <f t="shared" si="132"/>
        <v>20250</v>
      </c>
      <c r="AI78" s="58">
        <f t="shared" ref="AI78" si="145">AH78+IF(MOD(AH78*0.03,10)&gt;=1,AH78*0.03-MOD(AH78*0.03,10)+10,AH78*0.03-MOD(AH78*0.03,10))</f>
        <v>20860</v>
      </c>
      <c r="AJ78" s="69">
        <f>IF(TEXT($O$7,"mmm-yyy")=AC78,$M$2,AJ77+IF(MOD(AJ77*0.03,10)&gt;=1,AJ77*0.03-MOD(AJ77*0.03,10)+10,AJ77*0.03-MOD(AJ77*0.03,10)))</f>
        <v>0</v>
      </c>
      <c r="AK78" s="59">
        <f>IF(TEXT($O$7,"mmm-yyy")=AC78,(AJ78-(ROUND(AJ78/(DAY(EOMONTH(A78,0)))*(DAY($O$7)-1),0))),IF(AC77=TEXT($O$7,"mmm-yyy"),AJ78,IF(AK77=0,AJ78,IF(AND(TEXT(A78,"mmm")="Jul",TEXT(A78,"yyy")=TEXT(Arrear!$B$2,"yyy")),AK77,AL77))))</f>
        <v>0</v>
      </c>
      <c r="AL78" s="58">
        <f t="shared" si="136"/>
        <v>0</v>
      </c>
      <c r="AM78" s="69">
        <f t="shared" si="134"/>
        <v>19660</v>
      </c>
    </row>
    <row r="79" spans="1:39" s="70" customFormat="1" ht="15" customHeight="1" x14ac:dyDescent="0.25">
      <c r="A79" s="83">
        <v>41852</v>
      </c>
      <c r="B79" s="84">
        <v>0.57999999999999996</v>
      </c>
      <c r="C79" s="85">
        <f t="shared" si="127"/>
        <v>19660</v>
      </c>
      <c r="D79" s="86">
        <f t="shared" si="113"/>
        <v>11403</v>
      </c>
      <c r="E79" s="86">
        <f t="shared" si="114"/>
        <v>2949</v>
      </c>
      <c r="F79" s="86">
        <f t="shared" ref="F79:F110" si="146">IF(C79=0,0,300)</f>
        <v>300</v>
      </c>
      <c r="G79" s="86"/>
      <c r="H79" s="86">
        <f t="shared" si="128"/>
        <v>34312</v>
      </c>
      <c r="I79" s="87">
        <f t="shared" si="115"/>
        <v>150</v>
      </c>
      <c r="J79" s="86"/>
      <c r="K79" s="86"/>
      <c r="L79" s="88">
        <f t="shared" si="116"/>
        <v>34162</v>
      </c>
      <c r="M79" s="88"/>
      <c r="N79" s="88">
        <f t="shared" si="129"/>
        <v>9633</v>
      </c>
      <c r="O79" s="85"/>
      <c r="P79" s="83">
        <v>41852</v>
      </c>
      <c r="Q79" s="84">
        <f>Q78</f>
        <v>1.07</v>
      </c>
      <c r="R79" s="86">
        <f t="shared" si="117"/>
        <v>19660</v>
      </c>
      <c r="S79" s="87">
        <f t="shared" si="118"/>
        <v>21036</v>
      </c>
      <c r="T79" s="86">
        <f t="shared" ref="T79:T89" si="147">ROUND(R79*0.15,0)</f>
        <v>2949</v>
      </c>
      <c r="U79" s="86">
        <f t="shared" si="39"/>
        <v>300</v>
      </c>
      <c r="V79" s="86"/>
      <c r="W79" s="86">
        <f t="shared" si="119"/>
        <v>43945</v>
      </c>
      <c r="X79" s="87">
        <f t="shared" si="120"/>
        <v>200</v>
      </c>
      <c r="Y79" s="86"/>
      <c r="Z79" s="86"/>
      <c r="AA79" s="88">
        <f t="shared" si="121"/>
        <v>43745</v>
      </c>
      <c r="AB79" s="67"/>
      <c r="AC79" s="68" t="str">
        <f t="shared" si="122"/>
        <v>Aug-2014</v>
      </c>
      <c r="AD79" s="59">
        <f t="shared" ref="AD79:AD89" si="148">AD78</f>
        <v>19660</v>
      </c>
      <c r="AE79" s="56">
        <f>IF(Arrear!$C$7="Y",AF79,IF(Arrear!$C$6="Y",AF79,0))</f>
        <v>19660</v>
      </c>
      <c r="AF79" s="58">
        <f t="shared" si="130"/>
        <v>19660</v>
      </c>
      <c r="AG79" s="58">
        <f t="shared" si="131"/>
        <v>19660</v>
      </c>
      <c r="AH79" s="58">
        <f t="shared" si="132"/>
        <v>20250</v>
      </c>
      <c r="AI79" s="58">
        <f t="shared" ref="AI79" si="149">AH79+IF(MOD(AH79*0.03,10)&gt;=1,AH79*0.03-MOD(AH79*0.03,10)+10,AH79*0.03-MOD(AH79*0.03,10))</f>
        <v>20860</v>
      </c>
      <c r="AJ79" s="69">
        <f t="shared" ref="AJ79:AJ89" si="150">IF(TEXT($O$7,"mmm-yyy")=AC79,$M$2,AJ78)</f>
        <v>0</v>
      </c>
      <c r="AK79" s="59">
        <f t="shared" si="126"/>
        <v>0</v>
      </c>
      <c r="AL79" s="58">
        <f t="shared" si="136"/>
        <v>0</v>
      </c>
      <c r="AM79" s="69">
        <f t="shared" si="134"/>
        <v>19660</v>
      </c>
    </row>
    <row r="80" spans="1:39" s="70" customFormat="1" ht="15" customHeight="1" x14ac:dyDescent="0.25">
      <c r="A80" s="83">
        <v>41883</v>
      </c>
      <c r="B80" s="84">
        <v>0.57999999999999996</v>
      </c>
      <c r="C80" s="85">
        <f t="shared" si="127"/>
        <v>19660</v>
      </c>
      <c r="D80" s="86">
        <f t="shared" si="113"/>
        <v>11403</v>
      </c>
      <c r="E80" s="86">
        <f t="shared" si="114"/>
        <v>2949</v>
      </c>
      <c r="F80" s="86">
        <f t="shared" si="146"/>
        <v>300</v>
      </c>
      <c r="G80" s="86"/>
      <c r="H80" s="86">
        <f t="shared" si="128"/>
        <v>34312</v>
      </c>
      <c r="I80" s="87">
        <f t="shared" si="115"/>
        <v>150</v>
      </c>
      <c r="J80" s="86"/>
      <c r="K80" s="86"/>
      <c r="L80" s="88">
        <f t="shared" si="116"/>
        <v>34162</v>
      </c>
      <c r="M80" s="88"/>
      <c r="N80" s="88">
        <f t="shared" si="129"/>
        <v>9633</v>
      </c>
      <c r="O80" s="85"/>
      <c r="P80" s="83">
        <v>41883</v>
      </c>
      <c r="Q80" s="84">
        <f>Q79</f>
        <v>1.07</v>
      </c>
      <c r="R80" s="86">
        <f t="shared" si="117"/>
        <v>19660</v>
      </c>
      <c r="S80" s="87">
        <f t="shared" si="118"/>
        <v>21036</v>
      </c>
      <c r="T80" s="86">
        <f t="shared" si="147"/>
        <v>2949</v>
      </c>
      <c r="U80" s="86">
        <f t="shared" ref="U80:U143" si="151">IF(R80=0,0,300)</f>
        <v>300</v>
      </c>
      <c r="V80" s="86"/>
      <c r="W80" s="86">
        <f t="shared" si="119"/>
        <v>43945</v>
      </c>
      <c r="X80" s="87">
        <f t="shared" si="120"/>
        <v>200</v>
      </c>
      <c r="Y80" s="86"/>
      <c r="Z80" s="86"/>
      <c r="AA80" s="88">
        <f t="shared" si="121"/>
        <v>43745</v>
      </c>
      <c r="AB80" s="67"/>
      <c r="AC80" s="68" t="str">
        <f t="shared" si="122"/>
        <v>Sep-2014</v>
      </c>
      <c r="AD80" s="59">
        <f t="shared" si="148"/>
        <v>19660</v>
      </c>
      <c r="AE80" s="56">
        <f>IF(Arrear!$C$7="Y",AF80,IF(Arrear!$C$6="Y",AF80,0))</f>
        <v>19660</v>
      </c>
      <c r="AF80" s="58">
        <f t="shared" si="130"/>
        <v>19660</v>
      </c>
      <c r="AG80" s="58">
        <f t="shared" si="131"/>
        <v>19660</v>
      </c>
      <c r="AH80" s="58">
        <f t="shared" si="132"/>
        <v>20250</v>
      </c>
      <c r="AI80" s="58">
        <f t="shared" ref="AI80" si="152">AH80+IF(MOD(AH80*0.03,10)&gt;=1,AH80*0.03-MOD(AH80*0.03,10)+10,AH80*0.03-MOD(AH80*0.03,10))</f>
        <v>20860</v>
      </c>
      <c r="AJ80" s="69">
        <f t="shared" si="150"/>
        <v>0</v>
      </c>
      <c r="AK80" s="59">
        <f t="shared" si="126"/>
        <v>0</v>
      </c>
      <c r="AL80" s="58">
        <f t="shared" si="136"/>
        <v>0</v>
      </c>
      <c r="AM80" s="69">
        <f t="shared" si="134"/>
        <v>19660</v>
      </c>
    </row>
    <row r="81" spans="1:39" s="70" customFormat="1" ht="15" customHeight="1" x14ac:dyDescent="0.25">
      <c r="A81" s="83">
        <v>41913</v>
      </c>
      <c r="B81" s="84">
        <v>0.57999999999999996</v>
      </c>
      <c r="C81" s="85">
        <f t="shared" si="127"/>
        <v>19660</v>
      </c>
      <c r="D81" s="86">
        <f t="shared" si="113"/>
        <v>11403</v>
      </c>
      <c r="E81" s="86">
        <f t="shared" si="114"/>
        <v>2949</v>
      </c>
      <c r="F81" s="86">
        <f t="shared" si="146"/>
        <v>300</v>
      </c>
      <c r="G81" s="86"/>
      <c r="H81" s="86">
        <f t="shared" si="128"/>
        <v>34312</v>
      </c>
      <c r="I81" s="87">
        <f t="shared" si="115"/>
        <v>150</v>
      </c>
      <c r="J81" s="86"/>
      <c r="K81" s="86"/>
      <c r="L81" s="88">
        <f t="shared" si="116"/>
        <v>34162</v>
      </c>
      <c r="M81" s="88"/>
      <c r="N81" s="88">
        <f t="shared" si="129"/>
        <v>9633</v>
      </c>
      <c r="O81" s="85"/>
      <c r="P81" s="83">
        <v>41913</v>
      </c>
      <c r="Q81" s="84">
        <f>Q80</f>
        <v>1.07</v>
      </c>
      <c r="R81" s="86">
        <f t="shared" si="117"/>
        <v>19660</v>
      </c>
      <c r="S81" s="87">
        <f t="shared" si="118"/>
        <v>21036</v>
      </c>
      <c r="T81" s="86">
        <f t="shared" si="147"/>
        <v>2949</v>
      </c>
      <c r="U81" s="86">
        <f t="shared" si="151"/>
        <v>300</v>
      </c>
      <c r="V81" s="86"/>
      <c r="W81" s="86">
        <f t="shared" si="119"/>
        <v>43945</v>
      </c>
      <c r="X81" s="87">
        <f t="shared" si="120"/>
        <v>200</v>
      </c>
      <c r="Y81" s="86"/>
      <c r="Z81" s="86"/>
      <c r="AA81" s="88">
        <f t="shared" si="121"/>
        <v>43745</v>
      </c>
      <c r="AB81" s="67"/>
      <c r="AC81" s="68" t="str">
        <f t="shared" si="122"/>
        <v>Oct-2014</v>
      </c>
      <c r="AD81" s="59">
        <f t="shared" si="148"/>
        <v>19660</v>
      </c>
      <c r="AE81" s="56">
        <f>IF(Arrear!$C$7="Y",AF81,IF(Arrear!$C$6="Y",AF81,0))</f>
        <v>19660</v>
      </c>
      <c r="AF81" s="58">
        <f t="shared" si="130"/>
        <v>19660</v>
      </c>
      <c r="AG81" s="58">
        <f t="shared" si="131"/>
        <v>19660</v>
      </c>
      <c r="AH81" s="58">
        <f t="shared" si="132"/>
        <v>20250</v>
      </c>
      <c r="AI81" s="58">
        <f t="shared" ref="AI81" si="153">AH81+IF(MOD(AH81*0.03,10)&gt;=1,AH81*0.03-MOD(AH81*0.03,10)+10,AH81*0.03-MOD(AH81*0.03,10))</f>
        <v>20860</v>
      </c>
      <c r="AJ81" s="69">
        <f t="shared" si="150"/>
        <v>0</v>
      </c>
      <c r="AK81" s="59">
        <f t="shared" si="126"/>
        <v>0</v>
      </c>
      <c r="AL81" s="58">
        <f t="shared" si="136"/>
        <v>0</v>
      </c>
      <c r="AM81" s="69">
        <f t="shared" si="134"/>
        <v>19660</v>
      </c>
    </row>
    <row r="82" spans="1:39" s="70" customFormat="1" ht="15" customHeight="1" x14ac:dyDescent="0.25">
      <c r="A82" s="83">
        <v>41944</v>
      </c>
      <c r="B82" s="84">
        <v>0.57999999999999996</v>
      </c>
      <c r="C82" s="85">
        <f t="shared" si="127"/>
        <v>19660</v>
      </c>
      <c r="D82" s="86">
        <f t="shared" si="113"/>
        <v>11403</v>
      </c>
      <c r="E82" s="86">
        <f t="shared" si="114"/>
        <v>2949</v>
      </c>
      <c r="F82" s="86">
        <f t="shared" si="146"/>
        <v>300</v>
      </c>
      <c r="G82" s="86"/>
      <c r="H82" s="86">
        <f t="shared" si="128"/>
        <v>34312</v>
      </c>
      <c r="I82" s="87">
        <f t="shared" si="115"/>
        <v>150</v>
      </c>
      <c r="J82" s="86"/>
      <c r="K82" s="86"/>
      <c r="L82" s="88">
        <f t="shared" si="116"/>
        <v>34162</v>
      </c>
      <c r="M82" s="88"/>
      <c r="N82" s="88">
        <f t="shared" si="129"/>
        <v>9633</v>
      </c>
      <c r="O82" s="85"/>
      <c r="P82" s="83">
        <v>41944</v>
      </c>
      <c r="Q82" s="84">
        <f>Q81</f>
        <v>1.07</v>
      </c>
      <c r="R82" s="86">
        <f t="shared" si="117"/>
        <v>19660</v>
      </c>
      <c r="S82" s="87">
        <f t="shared" si="118"/>
        <v>21036</v>
      </c>
      <c r="T82" s="86">
        <f t="shared" si="147"/>
        <v>2949</v>
      </c>
      <c r="U82" s="86">
        <f t="shared" si="151"/>
        <v>300</v>
      </c>
      <c r="V82" s="86"/>
      <c r="W82" s="86">
        <f t="shared" si="119"/>
        <v>43945</v>
      </c>
      <c r="X82" s="87">
        <f t="shared" si="120"/>
        <v>200</v>
      </c>
      <c r="Y82" s="86"/>
      <c r="Z82" s="86"/>
      <c r="AA82" s="88">
        <f t="shared" si="121"/>
        <v>43745</v>
      </c>
      <c r="AB82" s="67"/>
      <c r="AC82" s="68" t="str">
        <f t="shared" si="122"/>
        <v>Nov-2014</v>
      </c>
      <c r="AD82" s="59">
        <f t="shared" si="148"/>
        <v>19660</v>
      </c>
      <c r="AE82" s="56">
        <f>IF(Arrear!$C$7="Y",AF82,IF(Arrear!$C$6="Y",AF82,0))</f>
        <v>19660</v>
      </c>
      <c r="AF82" s="58">
        <f t="shared" si="130"/>
        <v>19660</v>
      </c>
      <c r="AG82" s="58">
        <f t="shared" si="131"/>
        <v>19660</v>
      </c>
      <c r="AH82" s="58">
        <f t="shared" si="132"/>
        <v>20250</v>
      </c>
      <c r="AI82" s="58">
        <f t="shared" ref="AI82" si="154">AH82+IF(MOD(AH82*0.03,10)&gt;=1,AH82*0.03-MOD(AH82*0.03,10)+10,AH82*0.03-MOD(AH82*0.03,10))</f>
        <v>20860</v>
      </c>
      <c r="AJ82" s="69">
        <f t="shared" si="150"/>
        <v>0</v>
      </c>
      <c r="AK82" s="59">
        <f t="shared" si="126"/>
        <v>0</v>
      </c>
      <c r="AL82" s="58">
        <f t="shared" si="136"/>
        <v>0</v>
      </c>
      <c r="AM82" s="69">
        <f t="shared" si="134"/>
        <v>19660</v>
      </c>
    </row>
    <row r="83" spans="1:39" s="70" customFormat="1" ht="15" customHeight="1" x14ac:dyDescent="0.25">
      <c r="A83" s="83">
        <v>41974</v>
      </c>
      <c r="B83" s="84">
        <v>0.57999999999999996</v>
      </c>
      <c r="C83" s="85">
        <f t="shared" si="127"/>
        <v>19660</v>
      </c>
      <c r="D83" s="86">
        <f t="shared" si="113"/>
        <v>11403</v>
      </c>
      <c r="E83" s="86">
        <f t="shared" si="114"/>
        <v>2949</v>
      </c>
      <c r="F83" s="86">
        <f t="shared" si="146"/>
        <v>300</v>
      </c>
      <c r="G83" s="86"/>
      <c r="H83" s="86">
        <f t="shared" si="128"/>
        <v>34312</v>
      </c>
      <c r="I83" s="87">
        <f t="shared" si="115"/>
        <v>150</v>
      </c>
      <c r="J83" s="86"/>
      <c r="K83" s="86"/>
      <c r="L83" s="88">
        <f t="shared" si="116"/>
        <v>34162</v>
      </c>
      <c r="M83" s="88"/>
      <c r="N83" s="88">
        <f t="shared" si="129"/>
        <v>9633</v>
      </c>
      <c r="O83" s="85"/>
      <c r="P83" s="83">
        <v>41974</v>
      </c>
      <c r="Q83" s="84">
        <f>Q82</f>
        <v>1.07</v>
      </c>
      <c r="R83" s="86">
        <f t="shared" si="117"/>
        <v>19660</v>
      </c>
      <c r="S83" s="87">
        <f t="shared" si="118"/>
        <v>21036</v>
      </c>
      <c r="T83" s="86">
        <f t="shared" si="147"/>
        <v>2949</v>
      </c>
      <c r="U83" s="86">
        <f t="shared" si="151"/>
        <v>300</v>
      </c>
      <c r="V83" s="86"/>
      <c r="W83" s="86">
        <f t="shared" si="119"/>
        <v>43945</v>
      </c>
      <c r="X83" s="87">
        <f t="shared" si="120"/>
        <v>200</v>
      </c>
      <c r="Y83" s="86"/>
      <c r="Z83" s="86"/>
      <c r="AA83" s="88">
        <f t="shared" si="121"/>
        <v>43745</v>
      </c>
      <c r="AB83" s="67"/>
      <c r="AC83" s="68" t="str">
        <f t="shared" si="122"/>
        <v>Dec-2014</v>
      </c>
      <c r="AD83" s="59">
        <f t="shared" si="148"/>
        <v>19660</v>
      </c>
      <c r="AE83" s="56">
        <f>IF(Arrear!$C$7="Y",AF83,IF(Arrear!$C$6="Y",AF83,0))</f>
        <v>19660</v>
      </c>
      <c r="AF83" s="58">
        <f t="shared" si="130"/>
        <v>19660</v>
      </c>
      <c r="AG83" s="58">
        <f t="shared" si="131"/>
        <v>19660</v>
      </c>
      <c r="AH83" s="58">
        <f t="shared" si="132"/>
        <v>20250</v>
      </c>
      <c r="AI83" s="58">
        <f t="shared" ref="AI83" si="155">AH83+IF(MOD(AH83*0.03,10)&gt;=1,AH83*0.03-MOD(AH83*0.03,10)+10,AH83*0.03-MOD(AH83*0.03,10))</f>
        <v>20860</v>
      </c>
      <c r="AJ83" s="69">
        <f t="shared" si="150"/>
        <v>0</v>
      </c>
      <c r="AK83" s="59">
        <f t="shared" si="126"/>
        <v>0</v>
      </c>
      <c r="AL83" s="58">
        <f t="shared" si="136"/>
        <v>0</v>
      </c>
      <c r="AM83" s="69">
        <f t="shared" si="134"/>
        <v>19660</v>
      </c>
    </row>
    <row r="84" spans="1:39" s="70" customFormat="1" ht="15" customHeight="1" x14ac:dyDescent="0.25">
      <c r="A84" s="83">
        <v>42005</v>
      </c>
      <c r="B84" s="84">
        <v>0.65</v>
      </c>
      <c r="C84" s="85">
        <f t="shared" si="127"/>
        <v>19660</v>
      </c>
      <c r="D84" s="86">
        <f t="shared" si="113"/>
        <v>12779</v>
      </c>
      <c r="E84" s="86">
        <f t="shared" si="114"/>
        <v>2949</v>
      </c>
      <c r="F84" s="86">
        <f t="shared" si="146"/>
        <v>300</v>
      </c>
      <c r="G84" s="86"/>
      <c r="H84" s="86">
        <f t="shared" si="128"/>
        <v>35688</v>
      </c>
      <c r="I84" s="87">
        <f t="shared" si="115"/>
        <v>150</v>
      </c>
      <c r="J84" s="86"/>
      <c r="K84" s="86"/>
      <c r="L84" s="88">
        <f t="shared" si="116"/>
        <v>35538</v>
      </c>
      <c r="M84" s="88"/>
      <c r="N84" s="88">
        <f t="shared" si="129"/>
        <v>9437</v>
      </c>
      <c r="O84" s="85"/>
      <c r="P84" s="83">
        <v>42005</v>
      </c>
      <c r="Q84" s="84">
        <v>1.1299999999999999</v>
      </c>
      <c r="R84" s="86">
        <f t="shared" si="117"/>
        <v>19660</v>
      </c>
      <c r="S84" s="87">
        <f t="shared" si="118"/>
        <v>22216</v>
      </c>
      <c r="T84" s="86">
        <f t="shared" si="147"/>
        <v>2949</v>
      </c>
      <c r="U84" s="86">
        <f t="shared" si="151"/>
        <v>300</v>
      </c>
      <c r="V84" s="86"/>
      <c r="W84" s="86">
        <f t="shared" si="119"/>
        <v>45125</v>
      </c>
      <c r="X84" s="87">
        <f t="shared" si="120"/>
        <v>200</v>
      </c>
      <c r="Y84" s="86"/>
      <c r="Z84" s="86"/>
      <c r="AA84" s="88">
        <f t="shared" si="121"/>
        <v>44925</v>
      </c>
      <c r="AB84" s="67"/>
      <c r="AC84" s="68" t="str">
        <f t="shared" si="122"/>
        <v>Jan-2015</v>
      </c>
      <c r="AD84" s="59">
        <f t="shared" si="148"/>
        <v>19660</v>
      </c>
      <c r="AE84" s="56">
        <f>IF(Arrear!$C$7="Y",AF84,IF(Arrear!$C$6="Y",AF84,0))</f>
        <v>19660</v>
      </c>
      <c r="AF84" s="58">
        <f t="shared" si="130"/>
        <v>19660</v>
      </c>
      <c r="AG84" s="58">
        <f t="shared" si="131"/>
        <v>19660</v>
      </c>
      <c r="AH84" s="58">
        <f t="shared" si="132"/>
        <v>20250</v>
      </c>
      <c r="AI84" s="58">
        <f t="shared" ref="AI84" si="156">AH84+IF(MOD(AH84*0.03,10)&gt;=1,AH84*0.03-MOD(AH84*0.03,10)+10,AH84*0.03-MOD(AH84*0.03,10))</f>
        <v>20860</v>
      </c>
      <c r="AJ84" s="69">
        <f t="shared" si="150"/>
        <v>0</v>
      </c>
      <c r="AK84" s="59">
        <f t="shared" si="126"/>
        <v>0</v>
      </c>
      <c r="AL84" s="58">
        <f t="shared" si="136"/>
        <v>0</v>
      </c>
      <c r="AM84" s="69">
        <f t="shared" si="134"/>
        <v>19660</v>
      </c>
    </row>
    <row r="85" spans="1:39" s="71" customFormat="1" ht="15" customHeight="1" x14ac:dyDescent="0.25">
      <c r="A85" s="83">
        <v>42036</v>
      </c>
      <c r="B85" s="84">
        <v>0.65</v>
      </c>
      <c r="C85" s="85">
        <f t="shared" si="127"/>
        <v>19660</v>
      </c>
      <c r="D85" s="86">
        <f t="shared" si="113"/>
        <v>12779</v>
      </c>
      <c r="E85" s="86">
        <f t="shared" si="114"/>
        <v>2949</v>
      </c>
      <c r="F85" s="86">
        <f t="shared" si="146"/>
        <v>300</v>
      </c>
      <c r="G85" s="86"/>
      <c r="H85" s="86">
        <f t="shared" si="128"/>
        <v>35688</v>
      </c>
      <c r="I85" s="87">
        <f t="shared" si="115"/>
        <v>150</v>
      </c>
      <c r="J85" s="86"/>
      <c r="K85" s="86"/>
      <c r="L85" s="88">
        <f t="shared" si="116"/>
        <v>35538</v>
      </c>
      <c r="M85" s="88"/>
      <c r="N85" s="88">
        <f t="shared" si="129"/>
        <v>9437</v>
      </c>
      <c r="O85" s="85"/>
      <c r="P85" s="83">
        <v>42036</v>
      </c>
      <c r="Q85" s="84">
        <f>Q84</f>
        <v>1.1299999999999999</v>
      </c>
      <c r="R85" s="86">
        <f t="shared" si="117"/>
        <v>19660</v>
      </c>
      <c r="S85" s="87">
        <f t="shared" si="118"/>
        <v>22216</v>
      </c>
      <c r="T85" s="86">
        <f t="shared" si="147"/>
        <v>2949</v>
      </c>
      <c r="U85" s="86">
        <f t="shared" si="151"/>
        <v>300</v>
      </c>
      <c r="V85" s="86"/>
      <c r="W85" s="86">
        <f t="shared" si="119"/>
        <v>45125</v>
      </c>
      <c r="X85" s="87">
        <f t="shared" si="120"/>
        <v>200</v>
      </c>
      <c r="Y85" s="86"/>
      <c r="Z85" s="86"/>
      <c r="AA85" s="88">
        <f t="shared" si="121"/>
        <v>44925</v>
      </c>
      <c r="AB85" s="67"/>
      <c r="AC85" s="68" t="str">
        <f t="shared" si="122"/>
        <v>Feb-2015</v>
      </c>
      <c r="AD85" s="61">
        <f t="shared" si="148"/>
        <v>19660</v>
      </c>
      <c r="AE85" s="56">
        <f>IF(Arrear!$C$7="Y",AF85,IF(Arrear!$C$6="Y",AF85,0))</f>
        <v>19660</v>
      </c>
      <c r="AF85" s="58">
        <f t="shared" si="130"/>
        <v>19660</v>
      </c>
      <c r="AG85" s="58">
        <f t="shared" si="131"/>
        <v>19660</v>
      </c>
      <c r="AH85" s="58">
        <f t="shared" si="132"/>
        <v>20250</v>
      </c>
      <c r="AI85" s="58">
        <f t="shared" ref="AI85" si="157">AH85+IF(MOD(AH85*0.03,10)&gt;=1,AH85*0.03-MOD(AH85*0.03,10)+10,AH85*0.03-MOD(AH85*0.03,10))</f>
        <v>20860</v>
      </c>
      <c r="AJ85" s="69">
        <f t="shared" si="150"/>
        <v>0</v>
      </c>
      <c r="AK85" s="59">
        <f t="shared" si="126"/>
        <v>0</v>
      </c>
      <c r="AL85" s="58">
        <f t="shared" si="136"/>
        <v>0</v>
      </c>
      <c r="AM85" s="69">
        <f t="shared" si="134"/>
        <v>19660</v>
      </c>
    </row>
    <row r="86" spans="1:39" s="70" customFormat="1" ht="15" customHeight="1" x14ac:dyDescent="0.25">
      <c r="A86" s="83">
        <v>42064</v>
      </c>
      <c r="B86" s="84">
        <v>0.65</v>
      </c>
      <c r="C86" s="85">
        <f t="shared" si="127"/>
        <v>19660</v>
      </c>
      <c r="D86" s="86">
        <f t="shared" si="113"/>
        <v>12779</v>
      </c>
      <c r="E86" s="86">
        <f t="shared" si="114"/>
        <v>2949</v>
      </c>
      <c r="F86" s="86">
        <f t="shared" si="146"/>
        <v>300</v>
      </c>
      <c r="G86" s="86"/>
      <c r="H86" s="86">
        <f t="shared" si="128"/>
        <v>35688</v>
      </c>
      <c r="I86" s="87">
        <f t="shared" si="115"/>
        <v>150</v>
      </c>
      <c r="J86" s="86"/>
      <c r="K86" s="86"/>
      <c r="L86" s="88">
        <f t="shared" si="116"/>
        <v>35538</v>
      </c>
      <c r="M86" s="88"/>
      <c r="N86" s="88">
        <f t="shared" si="129"/>
        <v>9437</v>
      </c>
      <c r="O86" s="85"/>
      <c r="P86" s="83">
        <v>42064</v>
      </c>
      <c r="Q86" s="84">
        <f>Q85</f>
        <v>1.1299999999999999</v>
      </c>
      <c r="R86" s="86">
        <f t="shared" si="117"/>
        <v>19660</v>
      </c>
      <c r="S86" s="87">
        <f t="shared" si="118"/>
        <v>22216</v>
      </c>
      <c r="T86" s="86">
        <f t="shared" si="147"/>
        <v>2949</v>
      </c>
      <c r="U86" s="86">
        <f t="shared" si="151"/>
        <v>300</v>
      </c>
      <c r="V86" s="86"/>
      <c r="W86" s="86">
        <f t="shared" si="119"/>
        <v>45125</v>
      </c>
      <c r="X86" s="87">
        <f t="shared" si="120"/>
        <v>200</v>
      </c>
      <c r="Y86" s="86"/>
      <c r="Z86" s="86"/>
      <c r="AA86" s="88">
        <f t="shared" si="121"/>
        <v>44925</v>
      </c>
      <c r="AB86" s="67"/>
      <c r="AC86" s="68" t="str">
        <f t="shared" si="122"/>
        <v>Mar-2015</v>
      </c>
      <c r="AD86" s="59">
        <f t="shared" si="148"/>
        <v>19660</v>
      </c>
      <c r="AE86" s="56">
        <f>IF(Arrear!$C$7="Y",AF86,IF(Arrear!$C$6="Y",AF86,0))</f>
        <v>19660</v>
      </c>
      <c r="AF86" s="58">
        <f t="shared" si="130"/>
        <v>19660</v>
      </c>
      <c r="AG86" s="58">
        <f t="shared" si="131"/>
        <v>19660</v>
      </c>
      <c r="AH86" s="58">
        <f t="shared" si="132"/>
        <v>20250</v>
      </c>
      <c r="AI86" s="58">
        <f t="shared" ref="AI86" si="158">AH86+IF(MOD(AH86*0.03,10)&gt;=1,AH86*0.03-MOD(AH86*0.03,10)+10,AH86*0.03-MOD(AH86*0.03,10))</f>
        <v>20860</v>
      </c>
      <c r="AJ86" s="69">
        <f t="shared" si="150"/>
        <v>0</v>
      </c>
      <c r="AK86" s="59">
        <f t="shared" si="126"/>
        <v>0</v>
      </c>
      <c r="AL86" s="58">
        <f t="shared" si="136"/>
        <v>0</v>
      </c>
      <c r="AM86" s="69">
        <f t="shared" si="134"/>
        <v>19660</v>
      </c>
    </row>
    <row r="87" spans="1:39" s="70" customFormat="1" ht="15" customHeight="1" x14ac:dyDescent="0.25">
      <c r="A87" s="83">
        <v>42095</v>
      </c>
      <c r="B87" s="84">
        <v>0.65</v>
      </c>
      <c r="C87" s="85">
        <f t="shared" si="127"/>
        <v>19660</v>
      </c>
      <c r="D87" s="86">
        <f t="shared" si="113"/>
        <v>12779</v>
      </c>
      <c r="E87" s="86">
        <f t="shared" si="114"/>
        <v>2949</v>
      </c>
      <c r="F87" s="86">
        <f t="shared" si="146"/>
        <v>300</v>
      </c>
      <c r="G87" s="86"/>
      <c r="H87" s="86">
        <f t="shared" si="128"/>
        <v>35688</v>
      </c>
      <c r="I87" s="87">
        <f t="shared" si="115"/>
        <v>150</v>
      </c>
      <c r="J87" s="86"/>
      <c r="K87" s="86"/>
      <c r="L87" s="88">
        <f t="shared" si="116"/>
        <v>35538</v>
      </c>
      <c r="M87" s="88"/>
      <c r="N87" s="88">
        <f t="shared" si="129"/>
        <v>9437</v>
      </c>
      <c r="O87" s="85"/>
      <c r="P87" s="83">
        <v>42095</v>
      </c>
      <c r="Q87" s="84">
        <f>Q86</f>
        <v>1.1299999999999999</v>
      </c>
      <c r="R87" s="86">
        <f t="shared" si="117"/>
        <v>19660</v>
      </c>
      <c r="S87" s="87">
        <f t="shared" si="118"/>
        <v>22216</v>
      </c>
      <c r="T87" s="86">
        <f t="shared" si="147"/>
        <v>2949</v>
      </c>
      <c r="U87" s="86">
        <f t="shared" si="151"/>
        <v>300</v>
      </c>
      <c r="V87" s="86"/>
      <c r="W87" s="86">
        <f t="shared" si="119"/>
        <v>45125</v>
      </c>
      <c r="X87" s="87">
        <f t="shared" si="120"/>
        <v>200</v>
      </c>
      <c r="Y87" s="86"/>
      <c r="Z87" s="86"/>
      <c r="AA87" s="88">
        <f t="shared" si="121"/>
        <v>44925</v>
      </c>
      <c r="AB87" s="67"/>
      <c r="AC87" s="68" t="str">
        <f t="shared" si="122"/>
        <v>Apr-2015</v>
      </c>
      <c r="AD87" s="59">
        <f t="shared" si="148"/>
        <v>19660</v>
      </c>
      <c r="AE87" s="56">
        <f>IF(Arrear!$C$7="Y",AF87,IF(Arrear!$C$6="Y",AF87,0))</f>
        <v>19660</v>
      </c>
      <c r="AF87" s="58">
        <f t="shared" si="130"/>
        <v>19660</v>
      </c>
      <c r="AG87" s="58">
        <f t="shared" si="131"/>
        <v>19660</v>
      </c>
      <c r="AH87" s="58">
        <f t="shared" si="132"/>
        <v>20250</v>
      </c>
      <c r="AI87" s="58">
        <f t="shared" ref="AI87" si="159">AH87+IF(MOD(AH87*0.03,10)&gt;=1,AH87*0.03-MOD(AH87*0.03,10)+10,AH87*0.03-MOD(AH87*0.03,10))</f>
        <v>20860</v>
      </c>
      <c r="AJ87" s="69">
        <f t="shared" si="150"/>
        <v>0</v>
      </c>
      <c r="AK87" s="59">
        <f t="shared" si="126"/>
        <v>0</v>
      </c>
      <c r="AL87" s="58">
        <f t="shared" si="136"/>
        <v>0</v>
      </c>
      <c r="AM87" s="69">
        <f t="shared" si="134"/>
        <v>19660</v>
      </c>
    </row>
    <row r="88" spans="1:39" s="70" customFormat="1" ht="15" customHeight="1" x14ac:dyDescent="0.25">
      <c r="A88" s="83">
        <v>42125</v>
      </c>
      <c r="B88" s="84">
        <v>0.65</v>
      </c>
      <c r="C88" s="85">
        <f t="shared" si="127"/>
        <v>19660</v>
      </c>
      <c r="D88" s="86">
        <f t="shared" si="113"/>
        <v>12779</v>
      </c>
      <c r="E88" s="86">
        <f t="shared" si="114"/>
        <v>2949</v>
      </c>
      <c r="F88" s="86">
        <f t="shared" si="146"/>
        <v>300</v>
      </c>
      <c r="G88" s="86"/>
      <c r="H88" s="86">
        <f t="shared" si="128"/>
        <v>35688</v>
      </c>
      <c r="I88" s="87">
        <f t="shared" si="115"/>
        <v>150</v>
      </c>
      <c r="J88" s="86"/>
      <c r="K88" s="86"/>
      <c r="L88" s="88">
        <f t="shared" si="116"/>
        <v>35538</v>
      </c>
      <c r="M88" s="88"/>
      <c r="N88" s="88">
        <f t="shared" si="129"/>
        <v>9437</v>
      </c>
      <c r="O88" s="85"/>
      <c r="P88" s="83">
        <v>42125</v>
      </c>
      <c r="Q88" s="84">
        <f>Q87</f>
        <v>1.1299999999999999</v>
      </c>
      <c r="R88" s="86">
        <f t="shared" si="117"/>
        <v>19660</v>
      </c>
      <c r="S88" s="87">
        <f t="shared" si="118"/>
        <v>22216</v>
      </c>
      <c r="T88" s="86">
        <f t="shared" si="147"/>
        <v>2949</v>
      </c>
      <c r="U88" s="86">
        <f t="shared" si="151"/>
        <v>300</v>
      </c>
      <c r="V88" s="86"/>
      <c r="W88" s="86">
        <f t="shared" si="119"/>
        <v>45125</v>
      </c>
      <c r="X88" s="87">
        <f t="shared" si="120"/>
        <v>200</v>
      </c>
      <c r="Y88" s="86"/>
      <c r="Z88" s="86"/>
      <c r="AA88" s="88">
        <f t="shared" si="121"/>
        <v>44925</v>
      </c>
      <c r="AB88" s="67"/>
      <c r="AC88" s="68" t="str">
        <f t="shared" si="122"/>
        <v>May-2015</v>
      </c>
      <c r="AD88" s="59">
        <f t="shared" si="148"/>
        <v>19660</v>
      </c>
      <c r="AE88" s="56">
        <f>IF(Arrear!$C$7="Y",AF88,IF(Arrear!$C$6="Y",AF88,0))</f>
        <v>19660</v>
      </c>
      <c r="AF88" s="58">
        <f t="shared" si="130"/>
        <v>19660</v>
      </c>
      <c r="AG88" s="58">
        <f t="shared" si="131"/>
        <v>19660</v>
      </c>
      <c r="AH88" s="58">
        <f t="shared" si="132"/>
        <v>20250</v>
      </c>
      <c r="AI88" s="58">
        <f t="shared" ref="AI88" si="160">AH88+IF(MOD(AH88*0.03,10)&gt;=1,AH88*0.03-MOD(AH88*0.03,10)+10,AH88*0.03-MOD(AH88*0.03,10))</f>
        <v>20860</v>
      </c>
      <c r="AJ88" s="69">
        <f t="shared" si="150"/>
        <v>0</v>
      </c>
      <c r="AK88" s="59">
        <f t="shared" si="126"/>
        <v>0</v>
      </c>
      <c r="AL88" s="58">
        <f t="shared" si="136"/>
        <v>0</v>
      </c>
      <c r="AM88" s="69">
        <f t="shared" si="134"/>
        <v>19660</v>
      </c>
    </row>
    <row r="89" spans="1:39" s="70" customFormat="1" ht="15" customHeight="1" x14ac:dyDescent="0.25">
      <c r="A89" s="83">
        <v>42156</v>
      </c>
      <c r="B89" s="84">
        <v>0.65</v>
      </c>
      <c r="C89" s="85">
        <f t="shared" si="127"/>
        <v>19660</v>
      </c>
      <c r="D89" s="86">
        <f t="shared" si="113"/>
        <v>12779</v>
      </c>
      <c r="E89" s="86">
        <f t="shared" si="114"/>
        <v>2949</v>
      </c>
      <c r="F89" s="86">
        <f t="shared" si="146"/>
        <v>300</v>
      </c>
      <c r="G89" s="86"/>
      <c r="H89" s="86">
        <f t="shared" si="128"/>
        <v>35688</v>
      </c>
      <c r="I89" s="87">
        <f t="shared" si="115"/>
        <v>150</v>
      </c>
      <c r="J89" s="86"/>
      <c r="K89" s="86"/>
      <c r="L89" s="88">
        <f t="shared" si="116"/>
        <v>35538</v>
      </c>
      <c r="M89" s="88"/>
      <c r="N89" s="88">
        <f t="shared" si="129"/>
        <v>9437</v>
      </c>
      <c r="O89" s="85"/>
      <c r="P89" s="83">
        <v>42156</v>
      </c>
      <c r="Q89" s="84">
        <f>Q88</f>
        <v>1.1299999999999999</v>
      </c>
      <c r="R89" s="86">
        <f t="shared" si="117"/>
        <v>19660</v>
      </c>
      <c r="S89" s="87">
        <f t="shared" si="118"/>
        <v>22216</v>
      </c>
      <c r="T89" s="86">
        <f t="shared" si="147"/>
        <v>2949</v>
      </c>
      <c r="U89" s="86">
        <f t="shared" si="151"/>
        <v>300</v>
      </c>
      <c r="V89" s="86"/>
      <c r="W89" s="86">
        <f t="shared" si="119"/>
        <v>45125</v>
      </c>
      <c r="X89" s="87">
        <f t="shared" si="120"/>
        <v>200</v>
      </c>
      <c r="Y89" s="86"/>
      <c r="Z89" s="86"/>
      <c r="AA89" s="88">
        <f t="shared" si="121"/>
        <v>44925</v>
      </c>
      <c r="AB89" s="67"/>
      <c r="AC89" s="68" t="str">
        <f t="shared" si="122"/>
        <v>Jun-2015</v>
      </c>
      <c r="AD89" s="59">
        <f t="shared" si="148"/>
        <v>19660</v>
      </c>
      <c r="AE89" s="56">
        <f>IF(Arrear!$C$7="Y",AF89,IF(Arrear!$C$6="Y",AF89,0))</f>
        <v>19660</v>
      </c>
      <c r="AF89" s="58">
        <f t="shared" si="130"/>
        <v>19660</v>
      </c>
      <c r="AG89" s="58">
        <f t="shared" si="131"/>
        <v>19660</v>
      </c>
      <c r="AH89" s="58">
        <f t="shared" si="132"/>
        <v>20250</v>
      </c>
      <c r="AI89" s="58">
        <f t="shared" ref="AI89" si="161">AH89+IF(MOD(AH89*0.03,10)&gt;=1,AH89*0.03-MOD(AH89*0.03,10)+10,AH89*0.03-MOD(AH89*0.03,10))</f>
        <v>20860</v>
      </c>
      <c r="AJ89" s="69">
        <f t="shared" si="150"/>
        <v>0</v>
      </c>
      <c r="AK89" s="59">
        <f t="shared" si="126"/>
        <v>0</v>
      </c>
      <c r="AL89" s="58">
        <f t="shared" si="136"/>
        <v>0</v>
      </c>
      <c r="AM89" s="69">
        <f t="shared" si="134"/>
        <v>19660</v>
      </c>
    </row>
    <row r="90" spans="1:39" s="70" customFormat="1" ht="15" customHeight="1" x14ac:dyDescent="0.25">
      <c r="A90" s="83">
        <v>42186</v>
      </c>
      <c r="B90" s="84">
        <v>0.65</v>
      </c>
      <c r="C90" s="85">
        <f t="shared" si="127"/>
        <v>20250</v>
      </c>
      <c r="D90" s="86">
        <f t="shared" si="113"/>
        <v>13163</v>
      </c>
      <c r="E90" s="86">
        <f t="shared" si="114"/>
        <v>3037.5</v>
      </c>
      <c r="F90" s="86">
        <f t="shared" si="146"/>
        <v>300</v>
      </c>
      <c r="G90" s="86"/>
      <c r="H90" s="86">
        <f t="shared" si="128"/>
        <v>36750.5</v>
      </c>
      <c r="I90" s="87">
        <f t="shared" si="115"/>
        <v>150</v>
      </c>
      <c r="J90" s="86"/>
      <c r="K90" s="86"/>
      <c r="L90" s="88">
        <f t="shared" si="116"/>
        <v>36600.5</v>
      </c>
      <c r="M90" s="88"/>
      <c r="N90" s="88">
        <f t="shared" si="129"/>
        <v>10935</v>
      </c>
      <c r="O90" s="85"/>
      <c r="P90" s="83">
        <v>42186</v>
      </c>
      <c r="Q90" s="84">
        <v>1.19</v>
      </c>
      <c r="R90" s="86">
        <f t="shared" si="117"/>
        <v>20250</v>
      </c>
      <c r="S90" s="87">
        <f t="shared" si="118"/>
        <v>24098</v>
      </c>
      <c r="T90" s="86">
        <f t="shared" ref="T90:T143" si="162">ROUND(R90*0.15,0)</f>
        <v>3038</v>
      </c>
      <c r="U90" s="86">
        <f t="shared" si="151"/>
        <v>300</v>
      </c>
      <c r="V90" s="86"/>
      <c r="W90" s="86">
        <f t="shared" si="119"/>
        <v>47686</v>
      </c>
      <c r="X90" s="87">
        <f t="shared" si="120"/>
        <v>200</v>
      </c>
      <c r="Y90" s="86"/>
      <c r="Z90" s="86"/>
      <c r="AA90" s="88">
        <f t="shared" si="121"/>
        <v>47486</v>
      </c>
      <c r="AB90" s="67"/>
      <c r="AC90" s="68" t="str">
        <f t="shared" si="122"/>
        <v>Jul-2015</v>
      </c>
      <c r="AD90" s="59">
        <f>AD78+IF(MOD(AD78*0.03,10)&gt;=1,AD78*0.03-MOD(AD78*0.03,10)+10,AD78*0.03-MOD(AD78*0.03,10))</f>
        <v>20250</v>
      </c>
      <c r="AE90" s="56">
        <f>IF(Arrear!$C$7="Y",AF90,IF(Arrear!$C$6="Y",AF90,0))</f>
        <v>20250</v>
      </c>
      <c r="AF90" s="58">
        <f t="shared" si="130"/>
        <v>20250</v>
      </c>
      <c r="AG90" s="58">
        <f t="shared" si="131"/>
        <v>20250</v>
      </c>
      <c r="AH90" s="58">
        <f t="shared" si="132"/>
        <v>20860</v>
      </c>
      <c r="AI90" s="58">
        <f t="shared" ref="AI90" si="163">AH90+IF(MOD(AH90*0.03,10)&gt;=1,AH90*0.03-MOD(AH90*0.03,10)+10,AH90*0.03-MOD(AH90*0.03,10))</f>
        <v>21490</v>
      </c>
      <c r="AJ90" s="69">
        <f>IF(TEXT($O$7,"mmm-yyy")=AC90,$M$2,AJ89+IF(MOD(AJ89*0.03,10)&gt;=1,AJ89*0.03-MOD(AJ89*0.03,10)+10,AJ89*0.03-MOD(AJ89*0.03,10)))</f>
        <v>0</v>
      </c>
      <c r="AK90" s="59">
        <f>IF(TEXT($O$7,"mmm-yyy")=AC90,(AJ90-(ROUND(AJ90/(DAY(EOMONTH(A90,0)))*(DAY($O$7)-1),0))),IF(AC89=TEXT($O$7,"mmm-yyy"),AJ90,IF(AK89=0,AJ90,IF(AND(TEXT(A90,"mmm")="Jul",TEXT(A90,"yyy")=TEXT(Arrear!$B$2,"yyy")),AK89,AL89))))</f>
        <v>0</v>
      </c>
      <c r="AL90" s="58">
        <f t="shared" si="136"/>
        <v>0</v>
      </c>
      <c r="AM90" s="69">
        <f t="shared" si="134"/>
        <v>20250</v>
      </c>
    </row>
    <row r="91" spans="1:39" s="70" customFormat="1" ht="15" customHeight="1" x14ac:dyDescent="0.25">
      <c r="A91" s="83">
        <v>42217</v>
      </c>
      <c r="B91" s="84">
        <v>0.65</v>
      </c>
      <c r="C91" s="85">
        <f t="shared" si="127"/>
        <v>20250</v>
      </c>
      <c r="D91" s="86">
        <f t="shared" si="113"/>
        <v>13163</v>
      </c>
      <c r="E91" s="86">
        <f t="shared" si="114"/>
        <v>3037.5</v>
      </c>
      <c r="F91" s="86">
        <f t="shared" si="146"/>
        <v>300</v>
      </c>
      <c r="G91" s="86"/>
      <c r="H91" s="86">
        <f t="shared" si="128"/>
        <v>36750.5</v>
      </c>
      <c r="I91" s="87">
        <f t="shared" si="115"/>
        <v>150</v>
      </c>
      <c r="J91" s="86"/>
      <c r="K91" s="86"/>
      <c r="L91" s="88">
        <f t="shared" si="116"/>
        <v>36600.5</v>
      </c>
      <c r="M91" s="88"/>
      <c r="N91" s="88">
        <f t="shared" si="129"/>
        <v>10935</v>
      </c>
      <c r="O91" s="85"/>
      <c r="P91" s="83">
        <v>42217</v>
      </c>
      <c r="Q91" s="84">
        <f>Q90</f>
        <v>1.19</v>
      </c>
      <c r="R91" s="86">
        <f t="shared" si="117"/>
        <v>20250</v>
      </c>
      <c r="S91" s="87">
        <f t="shared" si="118"/>
        <v>24098</v>
      </c>
      <c r="T91" s="86">
        <f t="shared" si="162"/>
        <v>3038</v>
      </c>
      <c r="U91" s="86">
        <f t="shared" si="151"/>
        <v>300</v>
      </c>
      <c r="V91" s="86"/>
      <c r="W91" s="86">
        <f t="shared" si="119"/>
        <v>47686</v>
      </c>
      <c r="X91" s="87">
        <f t="shared" si="120"/>
        <v>200</v>
      </c>
      <c r="Y91" s="86"/>
      <c r="Z91" s="86"/>
      <c r="AA91" s="88">
        <f t="shared" si="121"/>
        <v>47486</v>
      </c>
      <c r="AB91" s="67"/>
      <c r="AC91" s="68" t="str">
        <f t="shared" si="122"/>
        <v>Aug-2015</v>
      </c>
      <c r="AD91" s="59">
        <f>AD90</f>
        <v>20250</v>
      </c>
      <c r="AE91" s="56">
        <f>IF(Arrear!$C$7="Y",AF91,IF(Arrear!$C$6="Y",AF91,0))</f>
        <v>20250</v>
      </c>
      <c r="AF91" s="58">
        <f t="shared" si="130"/>
        <v>20250</v>
      </c>
      <c r="AG91" s="58">
        <f t="shared" si="131"/>
        <v>20250</v>
      </c>
      <c r="AH91" s="58">
        <f t="shared" si="132"/>
        <v>20860</v>
      </c>
      <c r="AI91" s="58">
        <f t="shared" ref="AI91" si="164">AH91+IF(MOD(AH91*0.03,10)&gt;=1,AH91*0.03-MOD(AH91*0.03,10)+10,AH91*0.03-MOD(AH91*0.03,10))</f>
        <v>21490</v>
      </c>
      <c r="AJ91" s="69">
        <f t="shared" ref="AJ91:AJ101" si="165">IF(TEXT($O$7,"mmm-yyy")=AC91,$M$2,AJ90)</f>
        <v>0</v>
      </c>
      <c r="AK91" s="59">
        <f t="shared" si="126"/>
        <v>0</v>
      </c>
      <c r="AL91" s="58">
        <f t="shared" si="136"/>
        <v>0</v>
      </c>
      <c r="AM91" s="69">
        <f t="shared" si="134"/>
        <v>20250</v>
      </c>
    </row>
    <row r="92" spans="1:39" s="70" customFormat="1" ht="15" customHeight="1" x14ac:dyDescent="0.25">
      <c r="A92" s="83">
        <v>42248</v>
      </c>
      <c r="B92" s="84">
        <v>0.65</v>
      </c>
      <c r="C92" s="85">
        <f t="shared" si="127"/>
        <v>20250</v>
      </c>
      <c r="D92" s="86">
        <f t="shared" si="113"/>
        <v>13163</v>
      </c>
      <c r="E92" s="86">
        <f t="shared" si="114"/>
        <v>3037.5</v>
      </c>
      <c r="F92" s="86">
        <f t="shared" si="146"/>
        <v>300</v>
      </c>
      <c r="G92" s="86"/>
      <c r="H92" s="86">
        <f t="shared" si="128"/>
        <v>36750.5</v>
      </c>
      <c r="I92" s="87">
        <f t="shared" si="115"/>
        <v>150</v>
      </c>
      <c r="J92" s="86"/>
      <c r="K92" s="86"/>
      <c r="L92" s="88">
        <f t="shared" si="116"/>
        <v>36600.5</v>
      </c>
      <c r="M92" s="88"/>
      <c r="N92" s="88">
        <f t="shared" si="129"/>
        <v>10935</v>
      </c>
      <c r="O92" s="85"/>
      <c r="P92" s="83">
        <v>42248</v>
      </c>
      <c r="Q92" s="84">
        <f>Q91</f>
        <v>1.19</v>
      </c>
      <c r="R92" s="86">
        <f t="shared" si="117"/>
        <v>20250</v>
      </c>
      <c r="S92" s="87">
        <f t="shared" si="118"/>
        <v>24098</v>
      </c>
      <c r="T92" s="86">
        <f t="shared" si="162"/>
        <v>3038</v>
      </c>
      <c r="U92" s="86">
        <f t="shared" si="151"/>
        <v>300</v>
      </c>
      <c r="V92" s="86"/>
      <c r="W92" s="86">
        <f t="shared" si="119"/>
        <v>47686</v>
      </c>
      <c r="X92" s="87">
        <f t="shared" si="120"/>
        <v>200</v>
      </c>
      <c r="Y92" s="86"/>
      <c r="Z92" s="86"/>
      <c r="AA92" s="88">
        <f t="shared" si="121"/>
        <v>47486</v>
      </c>
      <c r="AB92" s="67"/>
      <c r="AC92" s="68" t="str">
        <f t="shared" si="122"/>
        <v>Sep-2015</v>
      </c>
      <c r="AD92" s="59">
        <f t="shared" ref="AD92:AD96" si="166">AD91</f>
        <v>20250</v>
      </c>
      <c r="AE92" s="56">
        <f>IF(Arrear!$C$7="Y",AF92,IF(Arrear!$C$6="Y",AF92,0))</f>
        <v>20250</v>
      </c>
      <c r="AF92" s="58">
        <f t="shared" si="130"/>
        <v>20250</v>
      </c>
      <c r="AG92" s="58">
        <f t="shared" si="131"/>
        <v>20250</v>
      </c>
      <c r="AH92" s="58">
        <f t="shared" si="132"/>
        <v>20860</v>
      </c>
      <c r="AI92" s="58">
        <f t="shared" ref="AI92" si="167">AH92+IF(MOD(AH92*0.03,10)&gt;=1,AH92*0.03-MOD(AH92*0.03,10)+10,AH92*0.03-MOD(AH92*0.03,10))</f>
        <v>21490</v>
      </c>
      <c r="AJ92" s="69">
        <f t="shared" si="165"/>
        <v>0</v>
      </c>
      <c r="AK92" s="59">
        <f t="shared" si="126"/>
        <v>0</v>
      </c>
      <c r="AL92" s="58">
        <f t="shared" si="136"/>
        <v>0</v>
      </c>
      <c r="AM92" s="69">
        <f t="shared" si="134"/>
        <v>20250</v>
      </c>
    </row>
    <row r="93" spans="1:39" s="70" customFormat="1" ht="15" customHeight="1" x14ac:dyDescent="0.25">
      <c r="A93" s="83">
        <v>42278</v>
      </c>
      <c r="B93" s="84">
        <v>0.65</v>
      </c>
      <c r="C93" s="85">
        <f t="shared" si="127"/>
        <v>20250</v>
      </c>
      <c r="D93" s="86">
        <f t="shared" si="113"/>
        <v>13163</v>
      </c>
      <c r="E93" s="86">
        <f t="shared" si="114"/>
        <v>3037.5</v>
      </c>
      <c r="F93" s="86">
        <f t="shared" si="146"/>
        <v>300</v>
      </c>
      <c r="G93" s="86"/>
      <c r="H93" s="86">
        <f t="shared" si="128"/>
        <v>36750.5</v>
      </c>
      <c r="I93" s="87">
        <f t="shared" si="115"/>
        <v>150</v>
      </c>
      <c r="J93" s="86"/>
      <c r="K93" s="86"/>
      <c r="L93" s="88">
        <f t="shared" si="116"/>
        <v>36600.5</v>
      </c>
      <c r="M93" s="88"/>
      <c r="N93" s="88">
        <f t="shared" si="129"/>
        <v>10935</v>
      </c>
      <c r="O93" s="85"/>
      <c r="P93" s="83">
        <v>42278</v>
      </c>
      <c r="Q93" s="84">
        <f>Q92</f>
        <v>1.19</v>
      </c>
      <c r="R93" s="86">
        <f t="shared" si="117"/>
        <v>20250</v>
      </c>
      <c r="S93" s="87">
        <f t="shared" si="118"/>
        <v>24098</v>
      </c>
      <c r="T93" s="86">
        <f t="shared" si="162"/>
        <v>3038</v>
      </c>
      <c r="U93" s="86">
        <f t="shared" si="151"/>
        <v>300</v>
      </c>
      <c r="V93" s="86"/>
      <c r="W93" s="86">
        <f t="shared" si="119"/>
        <v>47686</v>
      </c>
      <c r="X93" s="87">
        <f t="shared" si="120"/>
        <v>200</v>
      </c>
      <c r="Y93" s="86"/>
      <c r="Z93" s="86"/>
      <c r="AA93" s="88">
        <f t="shared" si="121"/>
        <v>47486</v>
      </c>
      <c r="AB93" s="67"/>
      <c r="AC93" s="68" t="str">
        <f t="shared" si="122"/>
        <v>Oct-2015</v>
      </c>
      <c r="AD93" s="59">
        <f t="shared" si="166"/>
        <v>20250</v>
      </c>
      <c r="AE93" s="56">
        <f>IF(Arrear!$C$7="Y",AF93,IF(Arrear!$C$6="Y",AF93,0))</f>
        <v>20250</v>
      </c>
      <c r="AF93" s="58">
        <f t="shared" si="130"/>
        <v>20250</v>
      </c>
      <c r="AG93" s="58">
        <f t="shared" si="131"/>
        <v>20250</v>
      </c>
      <c r="AH93" s="58">
        <f t="shared" si="132"/>
        <v>20860</v>
      </c>
      <c r="AI93" s="58">
        <f t="shared" ref="AI93" si="168">AH93+IF(MOD(AH93*0.03,10)&gt;=1,AH93*0.03-MOD(AH93*0.03,10)+10,AH93*0.03-MOD(AH93*0.03,10))</f>
        <v>21490</v>
      </c>
      <c r="AJ93" s="69">
        <f t="shared" si="165"/>
        <v>0</v>
      </c>
      <c r="AK93" s="59">
        <f t="shared" si="126"/>
        <v>0</v>
      </c>
      <c r="AL93" s="58">
        <f t="shared" si="136"/>
        <v>0</v>
      </c>
      <c r="AM93" s="69">
        <f t="shared" si="134"/>
        <v>20250</v>
      </c>
    </row>
    <row r="94" spans="1:39" s="70" customFormat="1" ht="15" customHeight="1" x14ac:dyDescent="0.25">
      <c r="A94" s="83">
        <v>42309</v>
      </c>
      <c r="B94" s="84">
        <v>0.65</v>
      </c>
      <c r="C94" s="85">
        <f t="shared" si="127"/>
        <v>20250</v>
      </c>
      <c r="D94" s="86">
        <f t="shared" si="113"/>
        <v>13163</v>
      </c>
      <c r="E94" s="86">
        <f t="shared" si="114"/>
        <v>3037.5</v>
      </c>
      <c r="F94" s="86">
        <f t="shared" si="146"/>
        <v>300</v>
      </c>
      <c r="G94" s="86"/>
      <c r="H94" s="86">
        <f t="shared" si="128"/>
        <v>36750.5</v>
      </c>
      <c r="I94" s="87">
        <f t="shared" si="115"/>
        <v>150</v>
      </c>
      <c r="J94" s="86"/>
      <c r="K94" s="86"/>
      <c r="L94" s="88">
        <f t="shared" si="116"/>
        <v>36600.5</v>
      </c>
      <c r="M94" s="88"/>
      <c r="N94" s="88">
        <f t="shared" si="129"/>
        <v>10935</v>
      </c>
      <c r="O94" s="85"/>
      <c r="P94" s="83">
        <v>42309</v>
      </c>
      <c r="Q94" s="84">
        <f>Q93</f>
        <v>1.19</v>
      </c>
      <c r="R94" s="86">
        <f t="shared" si="117"/>
        <v>20250</v>
      </c>
      <c r="S94" s="87">
        <f t="shared" si="118"/>
        <v>24098</v>
      </c>
      <c r="T94" s="86">
        <f t="shared" si="162"/>
        <v>3038</v>
      </c>
      <c r="U94" s="86">
        <f t="shared" si="151"/>
        <v>300</v>
      </c>
      <c r="V94" s="86"/>
      <c r="W94" s="86">
        <f t="shared" si="119"/>
        <v>47686</v>
      </c>
      <c r="X94" s="87">
        <f t="shared" si="120"/>
        <v>200</v>
      </c>
      <c r="Y94" s="86"/>
      <c r="Z94" s="86"/>
      <c r="AA94" s="88">
        <f t="shared" si="121"/>
        <v>47486</v>
      </c>
      <c r="AB94" s="67"/>
      <c r="AC94" s="68" t="str">
        <f t="shared" si="122"/>
        <v>Nov-2015</v>
      </c>
      <c r="AD94" s="59">
        <f t="shared" si="166"/>
        <v>20250</v>
      </c>
      <c r="AE94" s="56">
        <f>IF(Arrear!$C$7="Y",AF94,IF(Arrear!$C$6="Y",AF94,0))</f>
        <v>20250</v>
      </c>
      <c r="AF94" s="58">
        <f t="shared" si="130"/>
        <v>20250</v>
      </c>
      <c r="AG94" s="58">
        <f t="shared" si="131"/>
        <v>20250</v>
      </c>
      <c r="AH94" s="58">
        <f t="shared" si="132"/>
        <v>20860</v>
      </c>
      <c r="AI94" s="58">
        <f t="shared" ref="AI94" si="169">AH94+IF(MOD(AH94*0.03,10)&gt;=1,AH94*0.03-MOD(AH94*0.03,10)+10,AH94*0.03-MOD(AH94*0.03,10))</f>
        <v>21490</v>
      </c>
      <c r="AJ94" s="69">
        <f t="shared" si="165"/>
        <v>0</v>
      </c>
      <c r="AK94" s="59">
        <f t="shared" si="126"/>
        <v>0</v>
      </c>
      <c r="AL94" s="58">
        <f t="shared" si="136"/>
        <v>0</v>
      </c>
      <c r="AM94" s="69">
        <f t="shared" si="134"/>
        <v>20250</v>
      </c>
    </row>
    <row r="95" spans="1:39" s="70" customFormat="1" ht="15" customHeight="1" x14ac:dyDescent="0.25">
      <c r="A95" s="83">
        <v>42339</v>
      </c>
      <c r="B95" s="84">
        <v>0.65</v>
      </c>
      <c r="C95" s="85">
        <f t="shared" si="127"/>
        <v>20250</v>
      </c>
      <c r="D95" s="86">
        <f t="shared" si="113"/>
        <v>13163</v>
      </c>
      <c r="E95" s="86">
        <f t="shared" si="114"/>
        <v>3037.5</v>
      </c>
      <c r="F95" s="86">
        <f t="shared" si="146"/>
        <v>300</v>
      </c>
      <c r="G95" s="86"/>
      <c r="H95" s="86">
        <f t="shared" si="128"/>
        <v>36750.5</v>
      </c>
      <c r="I95" s="87">
        <f t="shared" si="115"/>
        <v>150</v>
      </c>
      <c r="J95" s="86"/>
      <c r="K95" s="86"/>
      <c r="L95" s="88">
        <f t="shared" si="116"/>
        <v>36600.5</v>
      </c>
      <c r="M95" s="88"/>
      <c r="N95" s="88">
        <f t="shared" si="129"/>
        <v>10935</v>
      </c>
      <c r="O95" s="85"/>
      <c r="P95" s="83">
        <v>42339</v>
      </c>
      <c r="Q95" s="84">
        <f>Q94</f>
        <v>1.19</v>
      </c>
      <c r="R95" s="86">
        <f t="shared" si="117"/>
        <v>20250</v>
      </c>
      <c r="S95" s="87">
        <f t="shared" si="118"/>
        <v>24098</v>
      </c>
      <c r="T95" s="86">
        <f t="shared" si="162"/>
        <v>3038</v>
      </c>
      <c r="U95" s="86">
        <f t="shared" si="151"/>
        <v>300</v>
      </c>
      <c r="V95" s="86"/>
      <c r="W95" s="86">
        <f t="shared" si="119"/>
        <v>47686</v>
      </c>
      <c r="X95" s="87">
        <f t="shared" si="120"/>
        <v>200</v>
      </c>
      <c r="Y95" s="86"/>
      <c r="Z95" s="86"/>
      <c r="AA95" s="88">
        <f t="shared" si="121"/>
        <v>47486</v>
      </c>
      <c r="AB95" s="67"/>
      <c r="AC95" s="68" t="str">
        <f t="shared" si="122"/>
        <v>Dec-2015</v>
      </c>
      <c r="AD95" s="59">
        <f t="shared" si="166"/>
        <v>20250</v>
      </c>
      <c r="AE95" s="56">
        <f>IF(Arrear!$C$7="Y",AF95,IF(Arrear!$C$6="Y",AF95,0))</f>
        <v>20250</v>
      </c>
      <c r="AF95" s="58">
        <f t="shared" si="130"/>
        <v>20250</v>
      </c>
      <c r="AG95" s="58">
        <f t="shared" si="131"/>
        <v>20250</v>
      </c>
      <c r="AH95" s="58">
        <f t="shared" si="132"/>
        <v>20860</v>
      </c>
      <c r="AI95" s="58">
        <f t="shared" ref="AI95" si="170">AH95+IF(MOD(AH95*0.03,10)&gt;=1,AH95*0.03-MOD(AH95*0.03,10)+10,AH95*0.03-MOD(AH95*0.03,10))</f>
        <v>21490</v>
      </c>
      <c r="AJ95" s="69">
        <f t="shared" si="165"/>
        <v>0</v>
      </c>
      <c r="AK95" s="59">
        <f t="shared" si="126"/>
        <v>0</v>
      </c>
      <c r="AL95" s="58">
        <f t="shared" si="136"/>
        <v>0</v>
      </c>
      <c r="AM95" s="69">
        <f t="shared" si="134"/>
        <v>20250</v>
      </c>
    </row>
    <row r="96" spans="1:39" s="70" customFormat="1" ht="15" customHeight="1" x14ac:dyDescent="0.25">
      <c r="A96" s="83">
        <v>42370</v>
      </c>
      <c r="B96" s="84">
        <v>0.75</v>
      </c>
      <c r="C96" s="85">
        <f t="shared" si="127"/>
        <v>20250</v>
      </c>
      <c r="D96" s="86">
        <f t="shared" si="113"/>
        <v>15188</v>
      </c>
      <c r="E96" s="86">
        <f t="shared" si="114"/>
        <v>3037.5</v>
      </c>
      <c r="F96" s="86">
        <f t="shared" si="146"/>
        <v>300</v>
      </c>
      <c r="G96" s="86"/>
      <c r="H96" s="86">
        <f t="shared" si="128"/>
        <v>38775.5</v>
      </c>
      <c r="I96" s="87">
        <f t="shared" si="115"/>
        <v>150</v>
      </c>
      <c r="J96" s="86"/>
      <c r="K96" s="86"/>
      <c r="L96" s="88">
        <f t="shared" si="116"/>
        <v>38625.5</v>
      </c>
      <c r="M96" s="88"/>
      <c r="N96" s="88">
        <f t="shared" si="129"/>
        <v>10125</v>
      </c>
      <c r="O96" s="85"/>
      <c r="P96" s="83">
        <v>42370</v>
      </c>
      <c r="Q96" s="84">
        <v>1.25</v>
      </c>
      <c r="R96" s="86">
        <f t="shared" si="117"/>
        <v>20250</v>
      </c>
      <c r="S96" s="87">
        <f t="shared" si="118"/>
        <v>25313</v>
      </c>
      <c r="T96" s="86">
        <f t="shared" si="162"/>
        <v>3038</v>
      </c>
      <c r="U96" s="86">
        <f t="shared" si="151"/>
        <v>300</v>
      </c>
      <c r="V96" s="86"/>
      <c r="W96" s="86">
        <f t="shared" si="119"/>
        <v>48901</v>
      </c>
      <c r="X96" s="87">
        <f t="shared" si="120"/>
        <v>200</v>
      </c>
      <c r="Y96" s="86"/>
      <c r="Z96" s="86"/>
      <c r="AA96" s="88">
        <f t="shared" si="121"/>
        <v>48701</v>
      </c>
      <c r="AB96" s="67"/>
      <c r="AC96" s="68" t="str">
        <f t="shared" si="122"/>
        <v>Jan-2016</v>
      </c>
      <c r="AD96" s="59">
        <f t="shared" si="166"/>
        <v>20250</v>
      </c>
      <c r="AE96" s="56">
        <f>IF(Arrear!$C$7="Y",AF96,IF(Arrear!$C$6="Y",AF96,0))</f>
        <v>20250</v>
      </c>
      <c r="AF96" s="58">
        <f t="shared" si="130"/>
        <v>20250</v>
      </c>
      <c r="AG96" s="58">
        <f t="shared" si="131"/>
        <v>20250</v>
      </c>
      <c r="AH96" s="58">
        <f t="shared" si="132"/>
        <v>20860</v>
      </c>
      <c r="AI96" s="58">
        <f t="shared" ref="AI96" si="171">AH96+IF(MOD(AH96*0.03,10)&gt;=1,AH96*0.03-MOD(AH96*0.03,10)+10,AH96*0.03-MOD(AH96*0.03,10))</f>
        <v>21490</v>
      </c>
      <c r="AJ96" s="69">
        <f t="shared" si="165"/>
        <v>0</v>
      </c>
      <c r="AK96" s="59">
        <f t="shared" si="126"/>
        <v>0</v>
      </c>
      <c r="AL96" s="58">
        <f t="shared" si="136"/>
        <v>0</v>
      </c>
      <c r="AM96" s="69">
        <f t="shared" si="134"/>
        <v>20250</v>
      </c>
    </row>
    <row r="97" spans="1:39" s="71" customFormat="1" ht="15" customHeight="1" x14ac:dyDescent="0.25">
      <c r="A97" s="83">
        <v>42401</v>
      </c>
      <c r="B97" s="84">
        <v>0.75</v>
      </c>
      <c r="C97" s="85">
        <f t="shared" si="127"/>
        <v>20250</v>
      </c>
      <c r="D97" s="86">
        <f t="shared" si="113"/>
        <v>15188</v>
      </c>
      <c r="E97" s="86">
        <f t="shared" si="114"/>
        <v>3037.5</v>
      </c>
      <c r="F97" s="86">
        <f t="shared" si="146"/>
        <v>300</v>
      </c>
      <c r="G97" s="86"/>
      <c r="H97" s="86">
        <f t="shared" si="128"/>
        <v>38775.5</v>
      </c>
      <c r="I97" s="87">
        <f t="shared" si="115"/>
        <v>150</v>
      </c>
      <c r="J97" s="86"/>
      <c r="K97" s="86"/>
      <c r="L97" s="88">
        <f t="shared" si="116"/>
        <v>38625.5</v>
      </c>
      <c r="M97" s="88"/>
      <c r="N97" s="88">
        <f t="shared" si="129"/>
        <v>10125</v>
      </c>
      <c r="O97" s="85"/>
      <c r="P97" s="83">
        <v>42401</v>
      </c>
      <c r="Q97" s="84">
        <f>Q96</f>
        <v>1.25</v>
      </c>
      <c r="R97" s="86">
        <f t="shared" si="117"/>
        <v>20250</v>
      </c>
      <c r="S97" s="87">
        <f t="shared" si="118"/>
        <v>25313</v>
      </c>
      <c r="T97" s="86">
        <f t="shared" si="162"/>
        <v>3038</v>
      </c>
      <c r="U97" s="86">
        <f t="shared" si="151"/>
        <v>300</v>
      </c>
      <c r="V97" s="86"/>
      <c r="W97" s="86">
        <f t="shared" si="119"/>
        <v>48901</v>
      </c>
      <c r="X97" s="87">
        <f t="shared" si="120"/>
        <v>200</v>
      </c>
      <c r="Y97" s="86"/>
      <c r="Z97" s="86"/>
      <c r="AA97" s="88">
        <f t="shared" si="121"/>
        <v>48701</v>
      </c>
      <c r="AB97" s="67"/>
      <c r="AC97" s="68" t="str">
        <f t="shared" si="122"/>
        <v>Feb-2016</v>
      </c>
      <c r="AD97" s="61">
        <f>AD96</f>
        <v>20250</v>
      </c>
      <c r="AE97" s="56">
        <f>IF(Arrear!$C$7="Y",AF97,IF(Arrear!$C$6="Y",AF97,0))</f>
        <v>20250</v>
      </c>
      <c r="AF97" s="58">
        <f t="shared" si="130"/>
        <v>20250</v>
      </c>
      <c r="AG97" s="58">
        <f t="shared" si="131"/>
        <v>20250</v>
      </c>
      <c r="AH97" s="58">
        <f t="shared" si="132"/>
        <v>20860</v>
      </c>
      <c r="AI97" s="58">
        <f t="shared" ref="AI97" si="172">AH97+IF(MOD(AH97*0.03,10)&gt;=1,AH97*0.03-MOD(AH97*0.03,10)+10,AH97*0.03-MOD(AH97*0.03,10))</f>
        <v>21490</v>
      </c>
      <c r="AJ97" s="69">
        <f t="shared" si="165"/>
        <v>0</v>
      </c>
      <c r="AK97" s="59">
        <f t="shared" si="126"/>
        <v>0</v>
      </c>
      <c r="AL97" s="58">
        <f t="shared" si="136"/>
        <v>0</v>
      </c>
      <c r="AM97" s="69">
        <f t="shared" si="134"/>
        <v>20250</v>
      </c>
    </row>
    <row r="98" spans="1:39" s="70" customFormat="1" ht="15" customHeight="1" x14ac:dyDescent="0.25">
      <c r="A98" s="83">
        <v>42430</v>
      </c>
      <c r="B98" s="84">
        <v>0.75</v>
      </c>
      <c r="C98" s="85">
        <f t="shared" si="127"/>
        <v>20250</v>
      </c>
      <c r="D98" s="86">
        <f t="shared" si="113"/>
        <v>15188</v>
      </c>
      <c r="E98" s="86">
        <f t="shared" si="114"/>
        <v>3037.5</v>
      </c>
      <c r="F98" s="86">
        <f t="shared" si="146"/>
        <v>300</v>
      </c>
      <c r="G98" s="86"/>
      <c r="H98" s="86">
        <f t="shared" si="128"/>
        <v>38775.5</v>
      </c>
      <c r="I98" s="87">
        <f t="shared" si="115"/>
        <v>150</v>
      </c>
      <c r="J98" s="86"/>
      <c r="K98" s="86"/>
      <c r="L98" s="88">
        <f t="shared" si="116"/>
        <v>38625.5</v>
      </c>
      <c r="M98" s="88"/>
      <c r="N98" s="88">
        <f t="shared" si="129"/>
        <v>10125</v>
      </c>
      <c r="O98" s="85"/>
      <c r="P98" s="83">
        <v>42430</v>
      </c>
      <c r="Q98" s="84">
        <f>Q97</f>
        <v>1.25</v>
      </c>
      <c r="R98" s="86">
        <f t="shared" si="117"/>
        <v>20250</v>
      </c>
      <c r="S98" s="87">
        <f t="shared" si="118"/>
        <v>25313</v>
      </c>
      <c r="T98" s="86">
        <f t="shared" si="162"/>
        <v>3038</v>
      </c>
      <c r="U98" s="86">
        <f t="shared" si="151"/>
        <v>300</v>
      </c>
      <c r="V98" s="86"/>
      <c r="W98" s="86">
        <f t="shared" si="119"/>
        <v>48901</v>
      </c>
      <c r="X98" s="87">
        <f t="shared" si="120"/>
        <v>200</v>
      </c>
      <c r="Y98" s="86"/>
      <c r="Z98" s="86"/>
      <c r="AA98" s="88">
        <f t="shared" si="121"/>
        <v>48701</v>
      </c>
      <c r="AB98" s="67"/>
      <c r="AC98" s="68" t="str">
        <f t="shared" si="122"/>
        <v>Mar-2016</v>
      </c>
      <c r="AD98" s="59">
        <f>AD97</f>
        <v>20250</v>
      </c>
      <c r="AE98" s="56">
        <f>IF(Arrear!$C$7="Y",AF98,IF(Arrear!$C$6="Y",AF98,0))</f>
        <v>20250</v>
      </c>
      <c r="AF98" s="58">
        <f t="shared" si="130"/>
        <v>20250</v>
      </c>
      <c r="AG98" s="58">
        <f t="shared" si="131"/>
        <v>20250</v>
      </c>
      <c r="AH98" s="58">
        <f t="shared" si="132"/>
        <v>20860</v>
      </c>
      <c r="AI98" s="58">
        <f t="shared" ref="AI98" si="173">AH98+IF(MOD(AH98*0.03,10)&gt;=1,AH98*0.03-MOD(AH98*0.03,10)+10,AH98*0.03-MOD(AH98*0.03,10))</f>
        <v>21490</v>
      </c>
      <c r="AJ98" s="69">
        <f t="shared" si="165"/>
        <v>0</v>
      </c>
      <c r="AK98" s="59">
        <f t="shared" si="126"/>
        <v>0</v>
      </c>
      <c r="AL98" s="58">
        <f t="shared" si="136"/>
        <v>0</v>
      </c>
      <c r="AM98" s="69">
        <f t="shared" si="134"/>
        <v>20250</v>
      </c>
    </row>
    <row r="99" spans="1:39" s="70" customFormat="1" ht="15" customHeight="1" x14ac:dyDescent="0.25">
      <c r="A99" s="83">
        <v>42461</v>
      </c>
      <c r="B99" s="84">
        <v>0.75</v>
      </c>
      <c r="C99" s="85">
        <f t="shared" si="127"/>
        <v>20250</v>
      </c>
      <c r="D99" s="86">
        <f t="shared" ref="D99:D130" si="174">ROUND(C99*B99,0)</f>
        <v>15188</v>
      </c>
      <c r="E99" s="86">
        <f t="shared" ref="E99:E130" si="175">C99*0.15</f>
        <v>3037.5</v>
      </c>
      <c r="F99" s="86">
        <f t="shared" si="146"/>
        <v>300</v>
      </c>
      <c r="G99" s="86"/>
      <c r="H99" s="86">
        <f t="shared" si="128"/>
        <v>38775.5</v>
      </c>
      <c r="I99" s="87">
        <f t="shared" ref="I99:I130" si="176">IF(H99&gt;40000,200,IF(H99&gt;25000,150,IF(H99&gt;15000,130,IF(H99&gt;9000,110,IF(H99&gt;8000,90,IF(H99&gt;7000,50,IF(H99&gt;6000,45,IF(H99&gt;5000,40,0))))))))</f>
        <v>150</v>
      </c>
      <c r="J99" s="86"/>
      <c r="K99" s="86"/>
      <c r="L99" s="88">
        <f t="shared" si="116"/>
        <v>38625.5</v>
      </c>
      <c r="M99" s="88"/>
      <c r="N99" s="88">
        <f t="shared" si="129"/>
        <v>10125</v>
      </c>
      <c r="O99" s="85"/>
      <c r="P99" s="83">
        <v>42461</v>
      </c>
      <c r="Q99" s="84">
        <f>Q98</f>
        <v>1.25</v>
      </c>
      <c r="R99" s="86">
        <f t="shared" ref="R99:R130" si="177">C99</f>
        <v>20250</v>
      </c>
      <c r="S99" s="87">
        <f t="shared" ref="S99:S130" si="178">ROUND(R99*Q99,0)</f>
        <v>25313</v>
      </c>
      <c r="T99" s="86">
        <f t="shared" si="162"/>
        <v>3038</v>
      </c>
      <c r="U99" s="86">
        <f t="shared" si="151"/>
        <v>300</v>
      </c>
      <c r="V99" s="86"/>
      <c r="W99" s="86">
        <f t="shared" si="119"/>
        <v>48901</v>
      </c>
      <c r="X99" s="87">
        <f t="shared" ref="X99:X130" si="179">IF(W99&gt;40000,200,IF(W99&gt;25000,150,IF(W99&gt;15000,130,IF(W99&gt;9000,110,IF(W99&gt;8000,90,IF(W99&gt;7000,50,IF(W99&gt;6000,45,IF(W99&gt;5000,40,0))))))))</f>
        <v>200</v>
      </c>
      <c r="Y99" s="86"/>
      <c r="Z99" s="86"/>
      <c r="AA99" s="88">
        <f t="shared" ref="AA99:AA130" si="180">(W99-SUM(X99:Z99))</f>
        <v>48701</v>
      </c>
      <c r="AB99" s="67"/>
      <c r="AC99" s="68" t="str">
        <f t="shared" ref="AC99:AC130" si="181">TEXT(A99,"mmm-yyy")</f>
        <v>Apr-2016</v>
      </c>
      <c r="AD99" s="59">
        <f>AD98</f>
        <v>20250</v>
      </c>
      <c r="AE99" s="56">
        <f>IF(Arrear!$C$7="Y",AF99,IF(Arrear!$C$6="Y",AF99,0))</f>
        <v>20250</v>
      </c>
      <c r="AF99" s="58">
        <f t="shared" si="130"/>
        <v>20250</v>
      </c>
      <c r="AG99" s="58">
        <f t="shared" si="131"/>
        <v>20250</v>
      </c>
      <c r="AH99" s="58">
        <f t="shared" si="132"/>
        <v>20860</v>
      </c>
      <c r="AI99" s="58">
        <f t="shared" ref="AI99" si="182">AH99+IF(MOD(AH99*0.03,10)&gt;=1,AH99*0.03-MOD(AH99*0.03,10)+10,AH99*0.03-MOD(AH99*0.03,10))</f>
        <v>21490</v>
      </c>
      <c r="AJ99" s="69">
        <f t="shared" si="165"/>
        <v>0</v>
      </c>
      <c r="AK99" s="59">
        <f t="shared" si="126"/>
        <v>0</v>
      </c>
      <c r="AL99" s="58">
        <f t="shared" si="136"/>
        <v>0</v>
      </c>
      <c r="AM99" s="69">
        <f t="shared" si="134"/>
        <v>20250</v>
      </c>
    </row>
    <row r="100" spans="1:39" s="70" customFormat="1" ht="15" customHeight="1" x14ac:dyDescent="0.25">
      <c r="A100" s="83">
        <v>42491</v>
      </c>
      <c r="B100" s="84">
        <v>0.75</v>
      </c>
      <c r="C100" s="85">
        <f t="shared" si="127"/>
        <v>20250</v>
      </c>
      <c r="D100" s="86">
        <f t="shared" si="174"/>
        <v>15188</v>
      </c>
      <c r="E100" s="86">
        <f t="shared" si="175"/>
        <v>3037.5</v>
      </c>
      <c r="F100" s="86">
        <f t="shared" si="146"/>
        <v>300</v>
      </c>
      <c r="G100" s="86"/>
      <c r="H100" s="86">
        <f t="shared" si="128"/>
        <v>38775.5</v>
      </c>
      <c r="I100" s="87">
        <f t="shared" si="176"/>
        <v>150</v>
      </c>
      <c r="J100" s="86"/>
      <c r="K100" s="86"/>
      <c r="L100" s="88">
        <f t="shared" si="116"/>
        <v>38625.5</v>
      </c>
      <c r="M100" s="88"/>
      <c r="N100" s="88">
        <f t="shared" si="129"/>
        <v>10125</v>
      </c>
      <c r="O100" s="85"/>
      <c r="P100" s="83">
        <v>42491</v>
      </c>
      <c r="Q100" s="84">
        <f>Q99</f>
        <v>1.25</v>
      </c>
      <c r="R100" s="86">
        <f t="shared" si="177"/>
        <v>20250</v>
      </c>
      <c r="S100" s="87">
        <f t="shared" si="178"/>
        <v>25313</v>
      </c>
      <c r="T100" s="86">
        <f t="shared" si="162"/>
        <v>3038</v>
      </c>
      <c r="U100" s="86">
        <f t="shared" si="151"/>
        <v>300</v>
      </c>
      <c r="V100" s="86"/>
      <c r="W100" s="86">
        <f t="shared" si="119"/>
        <v>48901</v>
      </c>
      <c r="X100" s="87">
        <f t="shared" si="179"/>
        <v>200</v>
      </c>
      <c r="Y100" s="86"/>
      <c r="Z100" s="86"/>
      <c r="AA100" s="88">
        <f t="shared" si="180"/>
        <v>48701</v>
      </c>
      <c r="AB100" s="67"/>
      <c r="AC100" s="68" t="str">
        <f t="shared" si="181"/>
        <v>May-2016</v>
      </c>
      <c r="AD100" s="59">
        <f>AD99</f>
        <v>20250</v>
      </c>
      <c r="AE100" s="56">
        <f>IF(Arrear!$C$7="Y",AF100,IF(Arrear!$C$6="Y",AF100,0))</f>
        <v>20250</v>
      </c>
      <c r="AF100" s="58">
        <f t="shared" ref="AF100:AF131" si="183">IF(TEXT(A100,"mmm-yyy")=$O$19,$O$18,IF(EOMONTH($O$15,0)+1=A100,$O$17,IF(TEXT(A100,"mmm")&lt;&gt;"Jul",AF99,IF(TEXT(A100,"mmm")="Jul",AH99,AF99))))</f>
        <v>20250</v>
      </c>
      <c r="AG100" s="58">
        <f t="shared" ref="AG100:AG131" si="184">IF(TEXT(A100,"mmm-yyy")=$O$35,$O$34,IF(EOMONTH($O$31,0)+1=A100,$O$33,IF(TEXT(A100,"mmm")&lt;&gt;"Jul",AG99,IF(TEXT(A100,"mmm")="Jul",AH99,AG99))))</f>
        <v>20250</v>
      </c>
      <c r="AH100" s="58">
        <f t="shared" ref="AH100:AH131" si="185">AF100+IF(MOD(AF100*0.03,10)&gt;=1,AF100*0.03-MOD(AF100*0.03,10)+10,AF100*0.03-MOD(AF100*0.03,10))</f>
        <v>20860</v>
      </c>
      <c r="AI100" s="58">
        <f t="shared" ref="AI100" si="186">AH100+IF(MOD(AH100*0.03,10)&gt;=1,AH100*0.03-MOD(AH100*0.03,10)+10,AH100*0.03-MOD(AH100*0.03,10))</f>
        <v>21490</v>
      </c>
      <c r="AJ100" s="69">
        <f t="shared" si="165"/>
        <v>0</v>
      </c>
      <c r="AK100" s="59">
        <f t="shared" si="126"/>
        <v>0</v>
      </c>
      <c r="AL100" s="58">
        <f t="shared" si="136"/>
        <v>0</v>
      </c>
      <c r="AM100" s="69">
        <f t="shared" si="134"/>
        <v>20250</v>
      </c>
    </row>
    <row r="101" spans="1:39" s="70" customFormat="1" ht="15" customHeight="1" x14ac:dyDescent="0.25">
      <c r="A101" s="83">
        <v>42522</v>
      </c>
      <c r="B101" s="84">
        <v>0.75</v>
      </c>
      <c r="C101" s="85">
        <f t="shared" si="127"/>
        <v>20250</v>
      </c>
      <c r="D101" s="86">
        <f t="shared" si="174"/>
        <v>15188</v>
      </c>
      <c r="E101" s="86">
        <f t="shared" si="175"/>
        <v>3037.5</v>
      </c>
      <c r="F101" s="86">
        <f t="shared" si="146"/>
        <v>300</v>
      </c>
      <c r="G101" s="86"/>
      <c r="H101" s="86">
        <f t="shared" si="128"/>
        <v>38775.5</v>
      </c>
      <c r="I101" s="87">
        <f t="shared" si="176"/>
        <v>150</v>
      </c>
      <c r="J101" s="86"/>
      <c r="K101" s="86"/>
      <c r="L101" s="88">
        <f t="shared" si="116"/>
        <v>38625.5</v>
      </c>
      <c r="M101" s="88"/>
      <c r="N101" s="88">
        <f t="shared" si="129"/>
        <v>10125</v>
      </c>
      <c r="O101" s="85"/>
      <c r="P101" s="83">
        <v>42522</v>
      </c>
      <c r="Q101" s="84">
        <f>Q100</f>
        <v>1.25</v>
      </c>
      <c r="R101" s="86">
        <f t="shared" si="177"/>
        <v>20250</v>
      </c>
      <c r="S101" s="87">
        <f t="shared" si="178"/>
        <v>25313</v>
      </c>
      <c r="T101" s="86">
        <f t="shared" si="162"/>
        <v>3038</v>
      </c>
      <c r="U101" s="86">
        <f t="shared" si="151"/>
        <v>300</v>
      </c>
      <c r="V101" s="86"/>
      <c r="W101" s="86">
        <f t="shared" si="119"/>
        <v>48901</v>
      </c>
      <c r="X101" s="87">
        <f t="shared" si="179"/>
        <v>200</v>
      </c>
      <c r="Y101" s="86"/>
      <c r="Z101" s="86"/>
      <c r="AA101" s="88">
        <f t="shared" si="180"/>
        <v>48701</v>
      </c>
      <c r="AB101" s="67"/>
      <c r="AC101" s="68" t="str">
        <f t="shared" si="181"/>
        <v>Jun-2016</v>
      </c>
      <c r="AD101" s="59">
        <f>AD100</f>
        <v>20250</v>
      </c>
      <c r="AE101" s="56">
        <f>IF(Arrear!$C$7="Y",AF101,IF(Arrear!$C$6="Y",AF101,0))</f>
        <v>20250</v>
      </c>
      <c r="AF101" s="58">
        <f t="shared" si="183"/>
        <v>20250</v>
      </c>
      <c r="AG101" s="58">
        <f t="shared" si="184"/>
        <v>20250</v>
      </c>
      <c r="AH101" s="58">
        <f t="shared" si="185"/>
        <v>20860</v>
      </c>
      <c r="AI101" s="58">
        <f t="shared" ref="AI101" si="187">AH101+IF(MOD(AH101*0.03,10)&gt;=1,AH101*0.03-MOD(AH101*0.03,10)+10,AH101*0.03-MOD(AH101*0.03,10))</f>
        <v>21490</v>
      </c>
      <c r="AJ101" s="69">
        <f t="shared" si="165"/>
        <v>0</v>
      </c>
      <c r="AK101" s="59">
        <f t="shared" si="126"/>
        <v>0</v>
      </c>
      <c r="AL101" s="58">
        <f t="shared" si="136"/>
        <v>0</v>
      </c>
      <c r="AM101" s="69">
        <f t="shared" si="134"/>
        <v>20250</v>
      </c>
    </row>
    <row r="102" spans="1:39" s="70" customFormat="1" ht="15" customHeight="1" x14ac:dyDescent="0.25">
      <c r="A102" s="83">
        <v>42552</v>
      </c>
      <c r="B102" s="84">
        <v>0.75</v>
      </c>
      <c r="C102" s="85">
        <f t="shared" si="127"/>
        <v>20860</v>
      </c>
      <c r="D102" s="86">
        <f t="shared" si="174"/>
        <v>15645</v>
      </c>
      <c r="E102" s="86">
        <f t="shared" si="175"/>
        <v>3129</v>
      </c>
      <c r="F102" s="86">
        <f t="shared" si="146"/>
        <v>300</v>
      </c>
      <c r="G102" s="86"/>
      <c r="H102" s="86">
        <f t="shared" si="128"/>
        <v>39934</v>
      </c>
      <c r="I102" s="87">
        <f t="shared" si="176"/>
        <v>150</v>
      </c>
      <c r="J102" s="86"/>
      <c r="K102" s="86"/>
      <c r="L102" s="88">
        <f t="shared" si="116"/>
        <v>39784</v>
      </c>
      <c r="M102" s="88"/>
      <c r="N102" s="88">
        <f t="shared" si="129"/>
        <v>11890</v>
      </c>
      <c r="O102" s="85"/>
      <c r="P102" s="83">
        <v>42552</v>
      </c>
      <c r="Q102" s="84">
        <v>1.32</v>
      </c>
      <c r="R102" s="86">
        <f t="shared" si="177"/>
        <v>20860</v>
      </c>
      <c r="S102" s="87">
        <f t="shared" si="178"/>
        <v>27535</v>
      </c>
      <c r="T102" s="86">
        <f t="shared" si="162"/>
        <v>3129</v>
      </c>
      <c r="U102" s="86">
        <f t="shared" si="151"/>
        <v>300</v>
      </c>
      <c r="V102" s="86"/>
      <c r="W102" s="86">
        <f t="shared" ref="W102:W133" si="188">SUM(R102:V102)</f>
        <v>51824</v>
      </c>
      <c r="X102" s="87">
        <f t="shared" si="179"/>
        <v>200</v>
      </c>
      <c r="Y102" s="86"/>
      <c r="Z102" s="86"/>
      <c r="AA102" s="88">
        <f t="shared" si="180"/>
        <v>51624</v>
      </c>
      <c r="AB102" s="67"/>
      <c r="AC102" s="68" t="str">
        <f t="shared" si="181"/>
        <v>Jul-2016</v>
      </c>
      <c r="AD102" s="59">
        <f>AD90+IF(MOD(AD90*0.03,10)&gt;=1,AD90*0.03-MOD(AD90*0.03,10)+10,AD90*0.03-MOD(AD90*0.03,10))</f>
        <v>20860</v>
      </c>
      <c r="AE102" s="56">
        <f>IF(Arrear!$C$7="Y",AF102,IF(Arrear!$C$6="Y",AF102,0))</f>
        <v>20860</v>
      </c>
      <c r="AF102" s="58">
        <f t="shared" si="183"/>
        <v>20860</v>
      </c>
      <c r="AG102" s="58">
        <f t="shared" si="184"/>
        <v>20860</v>
      </c>
      <c r="AH102" s="58">
        <f t="shared" si="185"/>
        <v>21490</v>
      </c>
      <c r="AI102" s="58">
        <f t="shared" ref="AI102" si="189">AH102+IF(MOD(AH102*0.03,10)&gt;=1,AH102*0.03-MOD(AH102*0.03,10)+10,AH102*0.03-MOD(AH102*0.03,10))</f>
        <v>22140</v>
      </c>
      <c r="AJ102" s="69">
        <f>IF(TEXT($O$7,"mmm-yyy")=AC102,$M$2,AJ101+IF(MOD(AJ101*0.03,10)&gt;=1,AJ101*0.03-MOD(AJ101*0.03,10)+10,AJ101*0.03-MOD(AJ101*0.03,10)))</f>
        <v>0</v>
      </c>
      <c r="AK102" s="59">
        <f>IF(TEXT($O$7,"mmm-yyy")=AC102,(AJ102-(ROUND(AJ102/(DAY(EOMONTH(A102,0)))*(DAY($O$7)-1),0))),IF(AC101=TEXT($O$7,"mmm-yyy"),AJ102,IF(AK101=0,AJ102,IF(AND(TEXT(A102,"mmm")="Jul",TEXT(A102,"yyy")=TEXT(Arrear!$B$2,"yyy")),AK101,AL101))))</f>
        <v>0</v>
      </c>
      <c r="AL102" s="58">
        <f t="shared" si="136"/>
        <v>0</v>
      </c>
      <c r="AM102" s="69">
        <f t="shared" si="134"/>
        <v>20860</v>
      </c>
    </row>
    <row r="103" spans="1:39" s="70" customFormat="1" ht="15" customHeight="1" x14ac:dyDescent="0.25">
      <c r="A103" s="83">
        <v>42583</v>
      </c>
      <c r="B103" s="84">
        <v>0.75</v>
      </c>
      <c r="C103" s="85">
        <f t="shared" si="127"/>
        <v>20860</v>
      </c>
      <c r="D103" s="86">
        <f t="shared" si="174"/>
        <v>15645</v>
      </c>
      <c r="E103" s="86">
        <f t="shared" si="175"/>
        <v>3129</v>
      </c>
      <c r="F103" s="86">
        <f t="shared" si="146"/>
        <v>300</v>
      </c>
      <c r="G103" s="86"/>
      <c r="H103" s="86">
        <f t="shared" si="128"/>
        <v>39934</v>
      </c>
      <c r="I103" s="87">
        <f t="shared" si="176"/>
        <v>150</v>
      </c>
      <c r="J103" s="86"/>
      <c r="K103" s="86"/>
      <c r="L103" s="88">
        <f t="shared" si="116"/>
        <v>39784</v>
      </c>
      <c r="M103" s="88"/>
      <c r="N103" s="88">
        <f t="shared" si="129"/>
        <v>11890</v>
      </c>
      <c r="O103" s="85"/>
      <c r="P103" s="83">
        <v>42583</v>
      </c>
      <c r="Q103" s="84">
        <f>Q102</f>
        <v>1.32</v>
      </c>
      <c r="R103" s="86">
        <f t="shared" si="177"/>
        <v>20860</v>
      </c>
      <c r="S103" s="87">
        <f t="shared" si="178"/>
        <v>27535</v>
      </c>
      <c r="T103" s="86">
        <f t="shared" si="162"/>
        <v>3129</v>
      </c>
      <c r="U103" s="86">
        <f t="shared" si="151"/>
        <v>300</v>
      </c>
      <c r="V103" s="86"/>
      <c r="W103" s="86">
        <f t="shared" si="188"/>
        <v>51824</v>
      </c>
      <c r="X103" s="87">
        <f t="shared" si="179"/>
        <v>200</v>
      </c>
      <c r="Y103" s="86"/>
      <c r="Z103" s="86"/>
      <c r="AA103" s="88">
        <f t="shared" si="180"/>
        <v>51624</v>
      </c>
      <c r="AB103" s="67"/>
      <c r="AC103" s="68" t="str">
        <f t="shared" si="181"/>
        <v>Aug-2016</v>
      </c>
      <c r="AD103" s="59">
        <f>AD102</f>
        <v>20860</v>
      </c>
      <c r="AE103" s="56">
        <f>IF(Arrear!$C$7="Y",AF103,IF(Arrear!$C$6="Y",AF103,0))</f>
        <v>20860</v>
      </c>
      <c r="AF103" s="58">
        <f t="shared" si="183"/>
        <v>20860</v>
      </c>
      <c r="AG103" s="58">
        <f t="shared" si="184"/>
        <v>20860</v>
      </c>
      <c r="AH103" s="58">
        <f t="shared" si="185"/>
        <v>21490</v>
      </c>
      <c r="AI103" s="58">
        <f t="shared" ref="AI103" si="190">AH103+IF(MOD(AH103*0.03,10)&gt;=1,AH103*0.03-MOD(AH103*0.03,10)+10,AH103*0.03-MOD(AH103*0.03,10))</f>
        <v>22140</v>
      </c>
      <c r="AJ103" s="69">
        <f t="shared" ref="AJ103:AJ113" si="191">IF(TEXT($O$7,"mmm-yyy")=AC103,$M$2,AJ102)</f>
        <v>0</v>
      </c>
      <c r="AK103" s="59">
        <f t="shared" si="126"/>
        <v>0</v>
      </c>
      <c r="AL103" s="58">
        <f t="shared" si="136"/>
        <v>0</v>
      </c>
      <c r="AM103" s="69">
        <f t="shared" si="134"/>
        <v>20860</v>
      </c>
    </row>
    <row r="104" spans="1:39" s="70" customFormat="1" ht="15" customHeight="1" x14ac:dyDescent="0.25">
      <c r="A104" s="83">
        <v>42614</v>
      </c>
      <c r="B104" s="84">
        <v>0.75</v>
      </c>
      <c r="C104" s="85">
        <f t="shared" si="127"/>
        <v>20860</v>
      </c>
      <c r="D104" s="86">
        <f t="shared" si="174"/>
        <v>15645</v>
      </c>
      <c r="E104" s="86">
        <f t="shared" si="175"/>
        <v>3129</v>
      </c>
      <c r="F104" s="86">
        <f t="shared" si="146"/>
        <v>300</v>
      </c>
      <c r="G104" s="86"/>
      <c r="H104" s="86">
        <f t="shared" si="128"/>
        <v>39934</v>
      </c>
      <c r="I104" s="87">
        <f t="shared" si="176"/>
        <v>150</v>
      </c>
      <c r="J104" s="86"/>
      <c r="K104" s="86"/>
      <c r="L104" s="88">
        <f t="shared" si="116"/>
        <v>39784</v>
      </c>
      <c r="M104" s="88"/>
      <c r="N104" s="88">
        <f t="shared" si="129"/>
        <v>11890</v>
      </c>
      <c r="O104" s="85"/>
      <c r="P104" s="83">
        <v>42614</v>
      </c>
      <c r="Q104" s="84">
        <f>Q103</f>
        <v>1.32</v>
      </c>
      <c r="R104" s="86">
        <f t="shared" si="177"/>
        <v>20860</v>
      </c>
      <c r="S104" s="87">
        <f t="shared" si="178"/>
        <v>27535</v>
      </c>
      <c r="T104" s="86">
        <f t="shared" si="162"/>
        <v>3129</v>
      </c>
      <c r="U104" s="86">
        <f t="shared" si="151"/>
        <v>300</v>
      </c>
      <c r="V104" s="86"/>
      <c r="W104" s="86">
        <f t="shared" si="188"/>
        <v>51824</v>
      </c>
      <c r="X104" s="87">
        <f t="shared" si="179"/>
        <v>200</v>
      </c>
      <c r="Y104" s="86"/>
      <c r="Z104" s="86"/>
      <c r="AA104" s="88">
        <f t="shared" si="180"/>
        <v>51624</v>
      </c>
      <c r="AB104" s="67"/>
      <c r="AC104" s="68" t="str">
        <f t="shared" si="181"/>
        <v>Sep-2016</v>
      </c>
      <c r="AD104" s="59">
        <f>AD103</f>
        <v>20860</v>
      </c>
      <c r="AE104" s="56">
        <f>IF(Arrear!$C$7="Y",AF104,IF(Arrear!$C$6="Y",AF104,0))</f>
        <v>20860</v>
      </c>
      <c r="AF104" s="58">
        <f t="shared" si="183"/>
        <v>20860</v>
      </c>
      <c r="AG104" s="58">
        <f t="shared" si="184"/>
        <v>20860</v>
      </c>
      <c r="AH104" s="58">
        <f t="shared" si="185"/>
        <v>21490</v>
      </c>
      <c r="AI104" s="58">
        <f t="shared" ref="AI104" si="192">AH104+IF(MOD(AH104*0.03,10)&gt;=1,AH104*0.03-MOD(AH104*0.03,10)+10,AH104*0.03-MOD(AH104*0.03,10))</f>
        <v>22140</v>
      </c>
      <c r="AJ104" s="69">
        <f t="shared" si="191"/>
        <v>0</v>
      </c>
      <c r="AK104" s="59">
        <f t="shared" si="126"/>
        <v>0</v>
      </c>
      <c r="AL104" s="58">
        <f t="shared" si="136"/>
        <v>0</v>
      </c>
      <c r="AM104" s="69">
        <f t="shared" si="134"/>
        <v>20860</v>
      </c>
    </row>
    <row r="105" spans="1:39" s="70" customFormat="1" ht="15" customHeight="1" x14ac:dyDescent="0.25">
      <c r="A105" s="83">
        <v>42644</v>
      </c>
      <c r="B105" s="84">
        <v>0.75</v>
      </c>
      <c r="C105" s="85">
        <f t="shared" si="127"/>
        <v>20860</v>
      </c>
      <c r="D105" s="86">
        <f t="shared" si="174"/>
        <v>15645</v>
      </c>
      <c r="E105" s="86">
        <f t="shared" si="175"/>
        <v>3129</v>
      </c>
      <c r="F105" s="86">
        <f t="shared" si="146"/>
        <v>300</v>
      </c>
      <c r="G105" s="86"/>
      <c r="H105" s="86">
        <f t="shared" si="128"/>
        <v>39934</v>
      </c>
      <c r="I105" s="87">
        <f t="shared" si="176"/>
        <v>150</v>
      </c>
      <c r="J105" s="86"/>
      <c r="K105" s="86"/>
      <c r="L105" s="88">
        <f t="shared" si="116"/>
        <v>39784</v>
      </c>
      <c r="M105" s="88"/>
      <c r="N105" s="88">
        <f t="shared" si="129"/>
        <v>11890</v>
      </c>
      <c r="O105" s="85"/>
      <c r="P105" s="83">
        <v>42644</v>
      </c>
      <c r="Q105" s="84">
        <f>Q104</f>
        <v>1.32</v>
      </c>
      <c r="R105" s="86">
        <f t="shared" si="177"/>
        <v>20860</v>
      </c>
      <c r="S105" s="87">
        <f t="shared" si="178"/>
        <v>27535</v>
      </c>
      <c r="T105" s="86">
        <f t="shared" si="162"/>
        <v>3129</v>
      </c>
      <c r="U105" s="86">
        <f t="shared" si="151"/>
        <v>300</v>
      </c>
      <c r="V105" s="86"/>
      <c r="W105" s="86">
        <f t="shared" si="188"/>
        <v>51824</v>
      </c>
      <c r="X105" s="87">
        <f t="shared" si="179"/>
        <v>200</v>
      </c>
      <c r="Y105" s="86"/>
      <c r="Z105" s="86"/>
      <c r="AA105" s="88">
        <f t="shared" si="180"/>
        <v>51624</v>
      </c>
      <c r="AB105" s="67"/>
      <c r="AC105" s="68" t="str">
        <f t="shared" si="181"/>
        <v>Oct-2016</v>
      </c>
      <c r="AD105" s="59">
        <f t="shared" ref="AD105:AD108" si="193">AD104</f>
        <v>20860</v>
      </c>
      <c r="AE105" s="56">
        <f>IF(Arrear!$C$7="Y",AF105,IF(Arrear!$C$6="Y",AF105,0))</f>
        <v>20860</v>
      </c>
      <c r="AF105" s="58">
        <f t="shared" si="183"/>
        <v>20860</v>
      </c>
      <c r="AG105" s="58">
        <f t="shared" si="184"/>
        <v>20860</v>
      </c>
      <c r="AH105" s="58">
        <f t="shared" si="185"/>
        <v>21490</v>
      </c>
      <c r="AI105" s="58">
        <f t="shared" ref="AI105" si="194">AH105+IF(MOD(AH105*0.03,10)&gt;=1,AH105*0.03-MOD(AH105*0.03,10)+10,AH105*0.03-MOD(AH105*0.03,10))</f>
        <v>22140</v>
      </c>
      <c r="AJ105" s="69">
        <f t="shared" si="191"/>
        <v>0</v>
      </c>
      <c r="AK105" s="59">
        <f t="shared" si="126"/>
        <v>0</v>
      </c>
      <c r="AL105" s="58">
        <f t="shared" si="136"/>
        <v>0</v>
      </c>
      <c r="AM105" s="69">
        <f t="shared" si="134"/>
        <v>20860</v>
      </c>
    </row>
    <row r="106" spans="1:39" s="70" customFormat="1" ht="15" customHeight="1" x14ac:dyDescent="0.25">
      <c r="A106" s="83">
        <v>42675</v>
      </c>
      <c r="B106" s="84">
        <v>0.75</v>
      </c>
      <c r="C106" s="85">
        <f t="shared" si="127"/>
        <v>20860</v>
      </c>
      <c r="D106" s="86">
        <f t="shared" si="174"/>
        <v>15645</v>
      </c>
      <c r="E106" s="86">
        <f t="shared" si="175"/>
        <v>3129</v>
      </c>
      <c r="F106" s="86">
        <f t="shared" si="146"/>
        <v>300</v>
      </c>
      <c r="G106" s="86"/>
      <c r="H106" s="86">
        <f t="shared" si="128"/>
        <v>39934</v>
      </c>
      <c r="I106" s="87">
        <f t="shared" si="176"/>
        <v>150</v>
      </c>
      <c r="J106" s="86"/>
      <c r="K106" s="86"/>
      <c r="L106" s="88">
        <f t="shared" si="116"/>
        <v>39784</v>
      </c>
      <c r="M106" s="88"/>
      <c r="N106" s="88">
        <f t="shared" si="129"/>
        <v>11890</v>
      </c>
      <c r="O106" s="85"/>
      <c r="P106" s="83">
        <v>42675</v>
      </c>
      <c r="Q106" s="84">
        <f>Q105</f>
        <v>1.32</v>
      </c>
      <c r="R106" s="86">
        <f t="shared" si="177"/>
        <v>20860</v>
      </c>
      <c r="S106" s="87">
        <f t="shared" si="178"/>
        <v>27535</v>
      </c>
      <c r="T106" s="86">
        <f t="shared" si="162"/>
        <v>3129</v>
      </c>
      <c r="U106" s="86">
        <f t="shared" si="151"/>
        <v>300</v>
      </c>
      <c r="V106" s="86"/>
      <c r="W106" s="86">
        <f t="shared" si="188"/>
        <v>51824</v>
      </c>
      <c r="X106" s="87">
        <f t="shared" si="179"/>
        <v>200</v>
      </c>
      <c r="Y106" s="86"/>
      <c r="Z106" s="86"/>
      <c r="AA106" s="88">
        <f t="shared" si="180"/>
        <v>51624</v>
      </c>
      <c r="AB106" s="67"/>
      <c r="AC106" s="68" t="str">
        <f t="shared" si="181"/>
        <v>Nov-2016</v>
      </c>
      <c r="AD106" s="59">
        <f t="shared" si="193"/>
        <v>20860</v>
      </c>
      <c r="AE106" s="56">
        <f>IF(Arrear!$C$7="Y",AF106,IF(Arrear!$C$6="Y",AF106,0))</f>
        <v>20860</v>
      </c>
      <c r="AF106" s="58">
        <f t="shared" si="183"/>
        <v>20860</v>
      </c>
      <c r="AG106" s="58">
        <f t="shared" si="184"/>
        <v>20860</v>
      </c>
      <c r="AH106" s="58">
        <f t="shared" si="185"/>
        <v>21490</v>
      </c>
      <c r="AI106" s="58">
        <f t="shared" ref="AI106" si="195">AH106+IF(MOD(AH106*0.03,10)&gt;=1,AH106*0.03-MOD(AH106*0.03,10)+10,AH106*0.03-MOD(AH106*0.03,10))</f>
        <v>22140</v>
      </c>
      <c r="AJ106" s="69">
        <f t="shared" si="191"/>
        <v>0</v>
      </c>
      <c r="AK106" s="59">
        <f t="shared" si="126"/>
        <v>0</v>
      </c>
      <c r="AL106" s="58">
        <f t="shared" si="136"/>
        <v>0</v>
      </c>
      <c r="AM106" s="69">
        <f t="shared" si="134"/>
        <v>20860</v>
      </c>
    </row>
    <row r="107" spans="1:39" s="70" customFormat="1" ht="15" customHeight="1" x14ac:dyDescent="0.25">
      <c r="A107" s="83">
        <v>42705</v>
      </c>
      <c r="B107" s="84">
        <v>0.75</v>
      </c>
      <c r="C107" s="85">
        <f t="shared" si="127"/>
        <v>20860</v>
      </c>
      <c r="D107" s="86">
        <f t="shared" si="174"/>
        <v>15645</v>
      </c>
      <c r="E107" s="86">
        <f t="shared" si="175"/>
        <v>3129</v>
      </c>
      <c r="F107" s="86">
        <f t="shared" si="146"/>
        <v>300</v>
      </c>
      <c r="G107" s="86"/>
      <c r="H107" s="86">
        <f t="shared" si="128"/>
        <v>39934</v>
      </c>
      <c r="I107" s="87">
        <f t="shared" si="176"/>
        <v>150</v>
      </c>
      <c r="J107" s="86"/>
      <c r="K107" s="86"/>
      <c r="L107" s="88">
        <f t="shared" si="116"/>
        <v>39784</v>
      </c>
      <c r="M107" s="88"/>
      <c r="N107" s="88">
        <f t="shared" si="129"/>
        <v>11890</v>
      </c>
      <c r="O107" s="85"/>
      <c r="P107" s="83">
        <v>42705</v>
      </c>
      <c r="Q107" s="84">
        <f>Q106</f>
        <v>1.32</v>
      </c>
      <c r="R107" s="86">
        <f t="shared" si="177"/>
        <v>20860</v>
      </c>
      <c r="S107" s="87">
        <f t="shared" si="178"/>
        <v>27535</v>
      </c>
      <c r="T107" s="86">
        <f t="shared" si="162"/>
        <v>3129</v>
      </c>
      <c r="U107" s="86">
        <f t="shared" si="151"/>
        <v>300</v>
      </c>
      <c r="V107" s="86"/>
      <c r="W107" s="86">
        <f t="shared" si="188"/>
        <v>51824</v>
      </c>
      <c r="X107" s="87">
        <f t="shared" si="179"/>
        <v>200</v>
      </c>
      <c r="Y107" s="86"/>
      <c r="Z107" s="86"/>
      <c r="AA107" s="88">
        <f t="shared" si="180"/>
        <v>51624</v>
      </c>
      <c r="AB107" s="67"/>
      <c r="AC107" s="68" t="str">
        <f t="shared" si="181"/>
        <v>Dec-2016</v>
      </c>
      <c r="AD107" s="59">
        <f t="shared" si="193"/>
        <v>20860</v>
      </c>
      <c r="AE107" s="56">
        <f>IF(Arrear!$C$7="Y",AF107,IF(Arrear!$C$6="Y",AF107,0))</f>
        <v>20860</v>
      </c>
      <c r="AF107" s="58">
        <f t="shared" si="183"/>
        <v>20860</v>
      </c>
      <c r="AG107" s="58">
        <f t="shared" si="184"/>
        <v>20860</v>
      </c>
      <c r="AH107" s="58">
        <f t="shared" si="185"/>
        <v>21490</v>
      </c>
      <c r="AI107" s="58">
        <f t="shared" ref="AI107" si="196">AH107+IF(MOD(AH107*0.03,10)&gt;=1,AH107*0.03-MOD(AH107*0.03,10)+10,AH107*0.03-MOD(AH107*0.03,10))</f>
        <v>22140</v>
      </c>
      <c r="AJ107" s="69">
        <f t="shared" si="191"/>
        <v>0</v>
      </c>
      <c r="AK107" s="59">
        <f t="shared" si="126"/>
        <v>0</v>
      </c>
      <c r="AL107" s="58">
        <f t="shared" si="136"/>
        <v>0</v>
      </c>
      <c r="AM107" s="69">
        <f t="shared" si="134"/>
        <v>20860</v>
      </c>
    </row>
    <row r="108" spans="1:39" s="70" customFormat="1" ht="15" customHeight="1" x14ac:dyDescent="0.25">
      <c r="A108" s="83">
        <v>42736</v>
      </c>
      <c r="B108" s="84">
        <v>0.85</v>
      </c>
      <c r="C108" s="85">
        <f t="shared" si="127"/>
        <v>20860</v>
      </c>
      <c r="D108" s="86">
        <f t="shared" si="174"/>
        <v>17731</v>
      </c>
      <c r="E108" s="86">
        <f t="shared" si="175"/>
        <v>3129</v>
      </c>
      <c r="F108" s="86">
        <f t="shared" si="146"/>
        <v>300</v>
      </c>
      <c r="G108" s="86"/>
      <c r="H108" s="86">
        <f t="shared" si="128"/>
        <v>42020</v>
      </c>
      <c r="I108" s="87">
        <f t="shared" si="176"/>
        <v>200</v>
      </c>
      <c r="J108" s="86"/>
      <c r="K108" s="86"/>
      <c r="L108" s="88">
        <f t="shared" si="116"/>
        <v>41820</v>
      </c>
      <c r="M108" s="88"/>
      <c r="N108" s="88">
        <f t="shared" si="129"/>
        <v>10639</v>
      </c>
      <c r="O108" s="85"/>
      <c r="P108" s="83">
        <v>42736</v>
      </c>
      <c r="Q108" s="84">
        <v>1.36</v>
      </c>
      <c r="R108" s="86">
        <f t="shared" si="177"/>
        <v>20860</v>
      </c>
      <c r="S108" s="87">
        <f t="shared" si="178"/>
        <v>28370</v>
      </c>
      <c r="T108" s="86">
        <f t="shared" si="162"/>
        <v>3129</v>
      </c>
      <c r="U108" s="86">
        <f t="shared" si="151"/>
        <v>300</v>
      </c>
      <c r="V108" s="86"/>
      <c r="W108" s="86">
        <f t="shared" si="188"/>
        <v>52659</v>
      </c>
      <c r="X108" s="87">
        <f t="shared" si="179"/>
        <v>200</v>
      </c>
      <c r="Y108" s="86"/>
      <c r="Z108" s="86"/>
      <c r="AA108" s="88">
        <f t="shared" si="180"/>
        <v>52459</v>
      </c>
      <c r="AB108" s="67"/>
      <c r="AC108" s="68" t="str">
        <f t="shared" si="181"/>
        <v>Jan-2017</v>
      </c>
      <c r="AD108" s="59">
        <f t="shared" si="193"/>
        <v>20860</v>
      </c>
      <c r="AE108" s="56">
        <f>IF(Arrear!$C$7="Y",AF108,IF(Arrear!$C$6="Y",AF108,0))</f>
        <v>20860</v>
      </c>
      <c r="AF108" s="58">
        <f t="shared" si="183"/>
        <v>20860</v>
      </c>
      <c r="AG108" s="58">
        <f t="shared" si="184"/>
        <v>20860</v>
      </c>
      <c r="AH108" s="58">
        <f t="shared" si="185"/>
        <v>21490</v>
      </c>
      <c r="AI108" s="58">
        <f t="shared" ref="AI108" si="197">AH108+IF(MOD(AH108*0.03,10)&gt;=1,AH108*0.03-MOD(AH108*0.03,10)+10,AH108*0.03-MOD(AH108*0.03,10))</f>
        <v>22140</v>
      </c>
      <c r="AJ108" s="69">
        <f t="shared" si="191"/>
        <v>0</v>
      </c>
      <c r="AK108" s="59">
        <f t="shared" si="126"/>
        <v>0</v>
      </c>
      <c r="AL108" s="58">
        <f t="shared" si="136"/>
        <v>0</v>
      </c>
      <c r="AM108" s="69">
        <f t="shared" si="134"/>
        <v>20860</v>
      </c>
    </row>
    <row r="109" spans="1:39" s="72" customFormat="1" ht="15" customHeight="1" x14ac:dyDescent="0.25">
      <c r="A109" s="83">
        <v>42767</v>
      </c>
      <c r="B109" s="84">
        <v>0.85</v>
      </c>
      <c r="C109" s="85">
        <f t="shared" si="127"/>
        <v>20860</v>
      </c>
      <c r="D109" s="86">
        <f t="shared" si="174"/>
        <v>17731</v>
      </c>
      <c r="E109" s="86">
        <f t="shared" si="175"/>
        <v>3129</v>
      </c>
      <c r="F109" s="86">
        <f t="shared" si="146"/>
        <v>300</v>
      </c>
      <c r="G109" s="86"/>
      <c r="H109" s="86">
        <f t="shared" si="128"/>
        <v>42020</v>
      </c>
      <c r="I109" s="87">
        <f t="shared" si="176"/>
        <v>200</v>
      </c>
      <c r="J109" s="86"/>
      <c r="K109" s="86"/>
      <c r="L109" s="88">
        <f t="shared" si="116"/>
        <v>41820</v>
      </c>
      <c r="M109" s="88"/>
      <c r="N109" s="88">
        <f t="shared" si="129"/>
        <v>10639</v>
      </c>
      <c r="O109" s="85"/>
      <c r="P109" s="83">
        <v>42767</v>
      </c>
      <c r="Q109" s="84">
        <f>Q108</f>
        <v>1.36</v>
      </c>
      <c r="R109" s="86">
        <f t="shared" si="177"/>
        <v>20860</v>
      </c>
      <c r="S109" s="87">
        <f t="shared" si="178"/>
        <v>28370</v>
      </c>
      <c r="T109" s="86">
        <f t="shared" si="162"/>
        <v>3129</v>
      </c>
      <c r="U109" s="86">
        <f t="shared" si="151"/>
        <v>300</v>
      </c>
      <c r="V109" s="86"/>
      <c r="W109" s="86">
        <f t="shared" si="188"/>
        <v>52659</v>
      </c>
      <c r="X109" s="87">
        <f t="shared" si="179"/>
        <v>200</v>
      </c>
      <c r="Y109" s="86"/>
      <c r="Z109" s="86"/>
      <c r="AA109" s="88">
        <f t="shared" si="180"/>
        <v>52459</v>
      </c>
      <c r="AB109" s="67"/>
      <c r="AC109" s="68" t="str">
        <f t="shared" si="181"/>
        <v>Feb-2017</v>
      </c>
      <c r="AD109" s="62">
        <f>AD108</f>
        <v>20860</v>
      </c>
      <c r="AE109" s="56">
        <f>IF(Arrear!$C$7="Y",AF109,IF(Arrear!$C$6="Y",AF109,0))</f>
        <v>20860</v>
      </c>
      <c r="AF109" s="58">
        <f t="shared" si="183"/>
        <v>20860</v>
      </c>
      <c r="AG109" s="58">
        <f t="shared" si="184"/>
        <v>20860</v>
      </c>
      <c r="AH109" s="58">
        <f t="shared" si="185"/>
        <v>21490</v>
      </c>
      <c r="AI109" s="58">
        <f t="shared" ref="AI109" si="198">AH109+IF(MOD(AH109*0.03,10)&gt;=1,AH109*0.03-MOD(AH109*0.03,10)+10,AH109*0.03-MOD(AH109*0.03,10))</f>
        <v>22140</v>
      </c>
      <c r="AJ109" s="69">
        <f t="shared" si="191"/>
        <v>0</v>
      </c>
      <c r="AK109" s="59">
        <f t="shared" si="126"/>
        <v>0</v>
      </c>
      <c r="AL109" s="58">
        <f t="shared" si="136"/>
        <v>0</v>
      </c>
      <c r="AM109" s="69">
        <f t="shared" si="134"/>
        <v>20860</v>
      </c>
    </row>
    <row r="110" spans="1:39" s="70" customFormat="1" ht="15" customHeight="1" x14ac:dyDescent="0.25">
      <c r="A110" s="83">
        <v>42795</v>
      </c>
      <c r="B110" s="84">
        <v>0.85</v>
      </c>
      <c r="C110" s="85">
        <f t="shared" si="127"/>
        <v>20860</v>
      </c>
      <c r="D110" s="86">
        <f t="shared" si="174"/>
        <v>17731</v>
      </c>
      <c r="E110" s="86">
        <f t="shared" si="175"/>
        <v>3129</v>
      </c>
      <c r="F110" s="86">
        <f t="shared" si="146"/>
        <v>300</v>
      </c>
      <c r="G110" s="86"/>
      <c r="H110" s="86">
        <f t="shared" si="128"/>
        <v>42020</v>
      </c>
      <c r="I110" s="87">
        <f t="shared" si="176"/>
        <v>200</v>
      </c>
      <c r="J110" s="86"/>
      <c r="K110" s="86"/>
      <c r="L110" s="88">
        <f t="shared" si="116"/>
        <v>41820</v>
      </c>
      <c r="M110" s="88"/>
      <c r="N110" s="88">
        <f t="shared" si="129"/>
        <v>10639</v>
      </c>
      <c r="O110" s="85"/>
      <c r="P110" s="83">
        <v>42795</v>
      </c>
      <c r="Q110" s="84">
        <f>Q109</f>
        <v>1.36</v>
      </c>
      <c r="R110" s="86">
        <f t="shared" si="177"/>
        <v>20860</v>
      </c>
      <c r="S110" s="87">
        <f t="shared" si="178"/>
        <v>28370</v>
      </c>
      <c r="T110" s="86">
        <f t="shared" si="162"/>
        <v>3129</v>
      </c>
      <c r="U110" s="86">
        <f t="shared" si="151"/>
        <v>300</v>
      </c>
      <c r="V110" s="86"/>
      <c r="W110" s="86">
        <f t="shared" si="188"/>
        <v>52659</v>
      </c>
      <c r="X110" s="87">
        <f t="shared" si="179"/>
        <v>200</v>
      </c>
      <c r="Y110" s="86"/>
      <c r="Z110" s="88"/>
      <c r="AA110" s="88">
        <f t="shared" si="180"/>
        <v>52459</v>
      </c>
      <c r="AB110" s="67"/>
      <c r="AC110" s="68" t="str">
        <f t="shared" si="181"/>
        <v>Mar-2017</v>
      </c>
      <c r="AD110" s="59">
        <f>AD109</f>
        <v>20860</v>
      </c>
      <c r="AE110" s="56">
        <f>IF(Arrear!$C$7="Y",AF110,IF(Arrear!$C$6="Y",AF110,0))</f>
        <v>20860</v>
      </c>
      <c r="AF110" s="58">
        <f t="shared" si="183"/>
        <v>20860</v>
      </c>
      <c r="AG110" s="58">
        <f t="shared" si="184"/>
        <v>20860</v>
      </c>
      <c r="AH110" s="58">
        <f t="shared" si="185"/>
        <v>21490</v>
      </c>
      <c r="AI110" s="58">
        <f t="shared" ref="AI110" si="199">AH110+IF(MOD(AH110*0.03,10)&gt;=1,AH110*0.03-MOD(AH110*0.03,10)+10,AH110*0.03-MOD(AH110*0.03,10))</f>
        <v>22140</v>
      </c>
      <c r="AJ110" s="69">
        <f t="shared" si="191"/>
        <v>0</v>
      </c>
      <c r="AK110" s="59">
        <f t="shared" si="126"/>
        <v>0</v>
      </c>
      <c r="AL110" s="58">
        <f t="shared" si="136"/>
        <v>0</v>
      </c>
      <c r="AM110" s="69">
        <f t="shared" si="134"/>
        <v>20860</v>
      </c>
    </row>
    <row r="111" spans="1:39" s="70" customFormat="1" ht="15" customHeight="1" x14ac:dyDescent="0.25">
      <c r="A111" s="83">
        <v>42826</v>
      </c>
      <c r="B111" s="84">
        <v>0.85</v>
      </c>
      <c r="C111" s="85">
        <f t="shared" si="127"/>
        <v>20860</v>
      </c>
      <c r="D111" s="86">
        <f t="shared" si="174"/>
        <v>17731</v>
      </c>
      <c r="E111" s="86">
        <f t="shared" si="175"/>
        <v>3129</v>
      </c>
      <c r="F111" s="86">
        <f t="shared" ref="F111:F143" si="200">IF(C111=0,0,300)</f>
        <v>300</v>
      </c>
      <c r="G111" s="86"/>
      <c r="H111" s="86">
        <f t="shared" si="128"/>
        <v>42020</v>
      </c>
      <c r="I111" s="87">
        <f t="shared" si="176"/>
        <v>200</v>
      </c>
      <c r="J111" s="86"/>
      <c r="K111" s="86"/>
      <c r="L111" s="88">
        <f t="shared" si="116"/>
        <v>41820</v>
      </c>
      <c r="M111" s="88"/>
      <c r="N111" s="88">
        <f t="shared" si="129"/>
        <v>10639</v>
      </c>
      <c r="O111" s="85"/>
      <c r="P111" s="83">
        <v>42826</v>
      </c>
      <c r="Q111" s="84">
        <f>Q110</f>
        <v>1.36</v>
      </c>
      <c r="R111" s="86">
        <f t="shared" si="177"/>
        <v>20860</v>
      </c>
      <c r="S111" s="87">
        <f t="shared" si="178"/>
        <v>28370</v>
      </c>
      <c r="T111" s="86">
        <f t="shared" si="162"/>
        <v>3129</v>
      </c>
      <c r="U111" s="86">
        <f t="shared" si="151"/>
        <v>300</v>
      </c>
      <c r="V111" s="86"/>
      <c r="W111" s="86">
        <f t="shared" si="188"/>
        <v>52659</v>
      </c>
      <c r="X111" s="87">
        <f t="shared" si="179"/>
        <v>200</v>
      </c>
      <c r="Y111" s="86"/>
      <c r="Z111" s="88"/>
      <c r="AA111" s="88">
        <f t="shared" si="180"/>
        <v>52459</v>
      </c>
      <c r="AB111" s="67"/>
      <c r="AC111" s="68" t="str">
        <f t="shared" si="181"/>
        <v>Apr-2017</v>
      </c>
      <c r="AD111" s="59">
        <f>AD110</f>
        <v>20860</v>
      </c>
      <c r="AE111" s="56">
        <f>IF(Arrear!$C$7="Y",AF111,IF(Arrear!$C$6="Y",AF111,0))</f>
        <v>20860</v>
      </c>
      <c r="AF111" s="58">
        <f t="shared" si="183"/>
        <v>20860</v>
      </c>
      <c r="AG111" s="58">
        <f t="shared" si="184"/>
        <v>20860</v>
      </c>
      <c r="AH111" s="58">
        <f t="shared" si="185"/>
        <v>21490</v>
      </c>
      <c r="AI111" s="58">
        <f t="shared" ref="AI111" si="201">AH111+IF(MOD(AH111*0.03,10)&gt;=1,AH111*0.03-MOD(AH111*0.03,10)+10,AH111*0.03-MOD(AH111*0.03,10))</f>
        <v>22140</v>
      </c>
      <c r="AJ111" s="69">
        <f t="shared" si="191"/>
        <v>0</v>
      </c>
      <c r="AK111" s="59">
        <f t="shared" si="126"/>
        <v>0</v>
      </c>
      <c r="AL111" s="58">
        <f t="shared" si="136"/>
        <v>0</v>
      </c>
      <c r="AM111" s="69">
        <f t="shared" si="134"/>
        <v>20860</v>
      </c>
    </row>
    <row r="112" spans="1:39" s="70" customFormat="1" ht="15" customHeight="1" x14ac:dyDescent="0.25">
      <c r="A112" s="83">
        <v>42856</v>
      </c>
      <c r="B112" s="84">
        <v>0.85</v>
      </c>
      <c r="C112" s="85">
        <f t="shared" si="127"/>
        <v>20860</v>
      </c>
      <c r="D112" s="86">
        <f t="shared" si="174"/>
        <v>17731</v>
      </c>
      <c r="E112" s="86">
        <f t="shared" si="175"/>
        <v>3129</v>
      </c>
      <c r="F112" s="86">
        <f t="shared" si="200"/>
        <v>300</v>
      </c>
      <c r="G112" s="86"/>
      <c r="H112" s="86">
        <f t="shared" si="128"/>
        <v>42020</v>
      </c>
      <c r="I112" s="87">
        <f t="shared" si="176"/>
        <v>200</v>
      </c>
      <c r="J112" s="86"/>
      <c r="K112" s="86"/>
      <c r="L112" s="88">
        <f t="shared" si="116"/>
        <v>41820</v>
      </c>
      <c r="M112" s="88"/>
      <c r="N112" s="88">
        <f t="shared" si="129"/>
        <v>10639</v>
      </c>
      <c r="O112" s="85"/>
      <c r="P112" s="83">
        <v>42856</v>
      </c>
      <c r="Q112" s="84">
        <f>Q111</f>
        <v>1.36</v>
      </c>
      <c r="R112" s="86">
        <f t="shared" si="177"/>
        <v>20860</v>
      </c>
      <c r="S112" s="87">
        <f t="shared" si="178"/>
        <v>28370</v>
      </c>
      <c r="T112" s="86">
        <f t="shared" si="162"/>
        <v>3129</v>
      </c>
      <c r="U112" s="86">
        <f t="shared" si="151"/>
        <v>300</v>
      </c>
      <c r="V112" s="86"/>
      <c r="W112" s="86">
        <f t="shared" si="188"/>
        <v>52659</v>
      </c>
      <c r="X112" s="87">
        <f t="shared" si="179"/>
        <v>200</v>
      </c>
      <c r="Y112" s="86"/>
      <c r="Z112" s="88"/>
      <c r="AA112" s="88">
        <f t="shared" si="180"/>
        <v>52459</v>
      </c>
      <c r="AB112" s="67"/>
      <c r="AC112" s="68" t="str">
        <f t="shared" si="181"/>
        <v>May-2017</v>
      </c>
      <c r="AD112" s="59">
        <f>AD111</f>
        <v>20860</v>
      </c>
      <c r="AE112" s="56">
        <f>IF(Arrear!$C$7="Y",AF112,IF(Arrear!$C$6="Y",AF112,0))</f>
        <v>20860</v>
      </c>
      <c r="AF112" s="58">
        <f t="shared" si="183"/>
        <v>20860</v>
      </c>
      <c r="AG112" s="58">
        <f t="shared" si="184"/>
        <v>20860</v>
      </c>
      <c r="AH112" s="58">
        <f t="shared" si="185"/>
        <v>21490</v>
      </c>
      <c r="AI112" s="58">
        <f t="shared" ref="AI112" si="202">AH112+IF(MOD(AH112*0.03,10)&gt;=1,AH112*0.03-MOD(AH112*0.03,10)+10,AH112*0.03-MOD(AH112*0.03,10))</f>
        <v>22140</v>
      </c>
      <c r="AJ112" s="69">
        <f t="shared" si="191"/>
        <v>0</v>
      </c>
      <c r="AK112" s="59">
        <f t="shared" si="126"/>
        <v>0</v>
      </c>
      <c r="AL112" s="58">
        <f t="shared" si="136"/>
        <v>0</v>
      </c>
      <c r="AM112" s="69">
        <f t="shared" si="134"/>
        <v>20860</v>
      </c>
    </row>
    <row r="113" spans="1:41" s="70" customFormat="1" ht="15" customHeight="1" x14ac:dyDescent="0.25">
      <c r="A113" s="83">
        <v>42887</v>
      </c>
      <c r="B113" s="84">
        <v>0.85</v>
      </c>
      <c r="C113" s="85">
        <f t="shared" si="127"/>
        <v>20860</v>
      </c>
      <c r="D113" s="86">
        <f t="shared" si="174"/>
        <v>17731</v>
      </c>
      <c r="E113" s="86">
        <f t="shared" si="175"/>
        <v>3129</v>
      </c>
      <c r="F113" s="86">
        <f t="shared" si="200"/>
        <v>300</v>
      </c>
      <c r="G113" s="86"/>
      <c r="H113" s="86">
        <f t="shared" si="128"/>
        <v>42020</v>
      </c>
      <c r="I113" s="87">
        <f t="shared" si="176"/>
        <v>200</v>
      </c>
      <c r="J113" s="86"/>
      <c r="K113" s="86"/>
      <c r="L113" s="88">
        <f t="shared" si="116"/>
        <v>41820</v>
      </c>
      <c r="M113" s="88"/>
      <c r="N113" s="88">
        <f t="shared" si="129"/>
        <v>10639</v>
      </c>
      <c r="O113" s="85"/>
      <c r="P113" s="83">
        <v>42887</v>
      </c>
      <c r="Q113" s="84">
        <f>Q112</f>
        <v>1.36</v>
      </c>
      <c r="R113" s="86">
        <f t="shared" si="177"/>
        <v>20860</v>
      </c>
      <c r="S113" s="87">
        <f t="shared" si="178"/>
        <v>28370</v>
      </c>
      <c r="T113" s="86">
        <f t="shared" si="162"/>
        <v>3129</v>
      </c>
      <c r="U113" s="86">
        <f t="shared" si="151"/>
        <v>300</v>
      </c>
      <c r="V113" s="86"/>
      <c r="W113" s="86">
        <f t="shared" si="188"/>
        <v>52659</v>
      </c>
      <c r="X113" s="87">
        <f t="shared" si="179"/>
        <v>200</v>
      </c>
      <c r="Y113" s="86"/>
      <c r="Z113" s="88"/>
      <c r="AA113" s="88">
        <f t="shared" si="180"/>
        <v>52459</v>
      </c>
      <c r="AB113" s="67"/>
      <c r="AC113" s="68" t="str">
        <f t="shared" si="181"/>
        <v>Jun-2017</v>
      </c>
      <c r="AD113" s="59">
        <f>AD112</f>
        <v>20860</v>
      </c>
      <c r="AE113" s="56">
        <f>IF(Arrear!$C$7="Y",AF113,IF(Arrear!$C$6="Y",AF113,0))</f>
        <v>20860</v>
      </c>
      <c r="AF113" s="58">
        <f t="shared" si="183"/>
        <v>20860</v>
      </c>
      <c r="AG113" s="58">
        <f t="shared" si="184"/>
        <v>20860</v>
      </c>
      <c r="AH113" s="58">
        <f t="shared" si="185"/>
        <v>21490</v>
      </c>
      <c r="AI113" s="58">
        <f t="shared" ref="AI113" si="203">AH113+IF(MOD(AH113*0.03,10)&gt;=1,AH113*0.03-MOD(AH113*0.03,10)+10,AH113*0.03-MOD(AH113*0.03,10))</f>
        <v>22140</v>
      </c>
      <c r="AJ113" s="69">
        <f t="shared" si="191"/>
        <v>0</v>
      </c>
      <c r="AK113" s="59">
        <f t="shared" si="126"/>
        <v>0</v>
      </c>
      <c r="AL113" s="58">
        <f t="shared" si="136"/>
        <v>0</v>
      </c>
      <c r="AM113" s="69">
        <f t="shared" si="134"/>
        <v>20860</v>
      </c>
    </row>
    <row r="114" spans="1:41" s="70" customFormat="1" ht="15" customHeight="1" x14ac:dyDescent="0.25">
      <c r="A114" s="83">
        <v>42917</v>
      </c>
      <c r="B114" s="84">
        <v>0.85</v>
      </c>
      <c r="C114" s="85">
        <f t="shared" si="127"/>
        <v>21490</v>
      </c>
      <c r="D114" s="86">
        <f t="shared" si="174"/>
        <v>18267</v>
      </c>
      <c r="E114" s="86">
        <f t="shared" si="175"/>
        <v>3223.5</v>
      </c>
      <c r="F114" s="86">
        <f t="shared" si="200"/>
        <v>300</v>
      </c>
      <c r="G114" s="86"/>
      <c r="H114" s="86">
        <f t="shared" si="128"/>
        <v>43280.5</v>
      </c>
      <c r="I114" s="87">
        <f t="shared" si="176"/>
        <v>200</v>
      </c>
      <c r="J114" s="86"/>
      <c r="K114" s="86"/>
      <c r="L114" s="88">
        <f t="shared" si="116"/>
        <v>43080.5</v>
      </c>
      <c r="M114" s="88"/>
      <c r="N114" s="88">
        <f t="shared" si="129"/>
        <v>11604</v>
      </c>
      <c r="O114" s="85"/>
      <c r="P114" s="83">
        <v>42917</v>
      </c>
      <c r="Q114" s="84">
        <v>1.39</v>
      </c>
      <c r="R114" s="86">
        <f t="shared" si="177"/>
        <v>21490</v>
      </c>
      <c r="S114" s="87">
        <f t="shared" si="178"/>
        <v>29871</v>
      </c>
      <c r="T114" s="86">
        <f t="shared" si="162"/>
        <v>3224</v>
      </c>
      <c r="U114" s="86">
        <f t="shared" si="151"/>
        <v>300</v>
      </c>
      <c r="V114" s="86"/>
      <c r="W114" s="86">
        <f t="shared" si="188"/>
        <v>54885</v>
      </c>
      <c r="X114" s="87">
        <f t="shared" si="179"/>
        <v>200</v>
      </c>
      <c r="Y114" s="86"/>
      <c r="Z114" s="88"/>
      <c r="AA114" s="88">
        <f t="shared" si="180"/>
        <v>54685</v>
      </c>
      <c r="AB114" s="67"/>
      <c r="AC114" s="68" t="str">
        <f t="shared" si="181"/>
        <v>Jul-2017</v>
      </c>
      <c r="AD114" s="59">
        <f>AD102+IF(MOD(AD102*0.03,10)&gt;=1,AD102*0.03-MOD(AD102*0.03,10)+10,AD102*0.03-MOD(AD102*0.03,10))</f>
        <v>21490</v>
      </c>
      <c r="AE114" s="56">
        <f>IF(Arrear!$C$7="Y",AF114,IF(Arrear!$C$6="Y",AF114,0))</f>
        <v>21490</v>
      </c>
      <c r="AF114" s="58">
        <f t="shared" si="183"/>
        <v>21490</v>
      </c>
      <c r="AG114" s="58">
        <f t="shared" si="184"/>
        <v>21490</v>
      </c>
      <c r="AH114" s="58">
        <f t="shared" si="185"/>
        <v>22140</v>
      </c>
      <c r="AI114" s="58">
        <f t="shared" ref="AI114" si="204">AH114+IF(MOD(AH114*0.03,10)&gt;=1,AH114*0.03-MOD(AH114*0.03,10)+10,AH114*0.03-MOD(AH114*0.03,10))</f>
        <v>22810</v>
      </c>
      <c r="AJ114" s="69">
        <f>IF(TEXT($O$7,"mmm-yyy")=AC114,$M$2,AJ113+IF(MOD(AJ113*0.03,10)&gt;=1,AJ113*0.03-MOD(AJ113*0.03,10)+10,AJ113*0.03-MOD(AJ113*0.03,10)))</f>
        <v>0</v>
      </c>
      <c r="AK114" s="59">
        <f>IF(TEXT($O$7,"mmm-yyy")=AC114,(AJ114-(ROUND(AJ114/(DAY(EOMONTH(A114,0)))*(DAY($O$7)-1),0))),IF(AC113=TEXT($O$7,"mmm-yyy"),AJ114,IF(AK113=0,AJ114,IF(AND(TEXT(A114,"mmm")="Jul",TEXT(A114,"yyy")=TEXT(Arrear!$B$2,"yyy")),AK113,AL113))))</f>
        <v>0</v>
      </c>
      <c r="AL114" s="58">
        <f t="shared" si="136"/>
        <v>0</v>
      </c>
      <c r="AM114" s="69">
        <f t="shared" si="134"/>
        <v>21490</v>
      </c>
    </row>
    <row r="115" spans="1:41" s="70" customFormat="1" ht="15" customHeight="1" x14ac:dyDescent="0.25">
      <c r="A115" s="83">
        <v>42948</v>
      </c>
      <c r="B115" s="84">
        <v>0.85</v>
      </c>
      <c r="C115" s="85">
        <f t="shared" si="127"/>
        <v>21490</v>
      </c>
      <c r="D115" s="86">
        <f t="shared" si="174"/>
        <v>18267</v>
      </c>
      <c r="E115" s="86">
        <f t="shared" si="175"/>
        <v>3223.5</v>
      </c>
      <c r="F115" s="86">
        <f t="shared" si="200"/>
        <v>300</v>
      </c>
      <c r="G115" s="86"/>
      <c r="H115" s="86">
        <f t="shared" si="128"/>
        <v>43280.5</v>
      </c>
      <c r="I115" s="87">
        <f t="shared" si="176"/>
        <v>200</v>
      </c>
      <c r="J115" s="86"/>
      <c r="K115" s="86"/>
      <c r="L115" s="88">
        <f t="shared" si="116"/>
        <v>43080.5</v>
      </c>
      <c r="M115" s="88"/>
      <c r="N115" s="88">
        <f t="shared" si="129"/>
        <v>11604</v>
      </c>
      <c r="O115" s="85"/>
      <c r="P115" s="83">
        <v>42948</v>
      </c>
      <c r="Q115" s="84">
        <f>Q114</f>
        <v>1.39</v>
      </c>
      <c r="R115" s="86">
        <f t="shared" si="177"/>
        <v>21490</v>
      </c>
      <c r="S115" s="87">
        <f t="shared" si="178"/>
        <v>29871</v>
      </c>
      <c r="T115" s="86">
        <f t="shared" si="162"/>
        <v>3224</v>
      </c>
      <c r="U115" s="86">
        <f t="shared" si="151"/>
        <v>300</v>
      </c>
      <c r="V115" s="86"/>
      <c r="W115" s="86">
        <f t="shared" si="188"/>
        <v>54885</v>
      </c>
      <c r="X115" s="87">
        <f t="shared" si="179"/>
        <v>200</v>
      </c>
      <c r="Y115" s="86"/>
      <c r="Z115" s="88"/>
      <c r="AA115" s="88">
        <f t="shared" si="180"/>
        <v>54685</v>
      </c>
      <c r="AB115" s="67"/>
      <c r="AC115" s="68" t="str">
        <f t="shared" si="181"/>
        <v>Aug-2017</v>
      </c>
      <c r="AD115" s="59">
        <f>AD114</f>
        <v>21490</v>
      </c>
      <c r="AE115" s="56">
        <f>IF(Arrear!$C$7="Y",AF115,IF(Arrear!$C$6="Y",AF115,0))</f>
        <v>21490</v>
      </c>
      <c r="AF115" s="58">
        <f t="shared" si="183"/>
        <v>21490</v>
      </c>
      <c r="AG115" s="58">
        <f t="shared" si="184"/>
        <v>21490</v>
      </c>
      <c r="AH115" s="58">
        <f t="shared" si="185"/>
        <v>22140</v>
      </c>
      <c r="AI115" s="58">
        <f t="shared" ref="AI115" si="205">AH115+IF(MOD(AH115*0.03,10)&gt;=1,AH115*0.03-MOD(AH115*0.03,10)+10,AH115*0.03-MOD(AH115*0.03,10))</f>
        <v>22810</v>
      </c>
      <c r="AJ115" s="69">
        <f t="shared" ref="AJ115:AJ125" si="206">IF(TEXT($O$7,"mmm-yyy")=AC115,$M$2,AJ114)</f>
        <v>0</v>
      </c>
      <c r="AK115" s="59">
        <f t="shared" si="126"/>
        <v>0</v>
      </c>
      <c r="AL115" s="58">
        <f t="shared" si="136"/>
        <v>0</v>
      </c>
      <c r="AM115" s="69">
        <f t="shared" si="134"/>
        <v>21490</v>
      </c>
      <c r="AO115" s="73"/>
    </row>
    <row r="116" spans="1:41" s="70" customFormat="1" ht="15" customHeight="1" x14ac:dyDescent="0.25">
      <c r="A116" s="83">
        <v>42979</v>
      </c>
      <c r="B116" s="84">
        <v>0.85</v>
      </c>
      <c r="C116" s="85">
        <f t="shared" si="127"/>
        <v>21490</v>
      </c>
      <c r="D116" s="86">
        <f t="shared" si="174"/>
        <v>18267</v>
      </c>
      <c r="E116" s="86">
        <f t="shared" si="175"/>
        <v>3223.5</v>
      </c>
      <c r="F116" s="86">
        <f t="shared" si="200"/>
        <v>300</v>
      </c>
      <c r="G116" s="86"/>
      <c r="H116" s="86">
        <f t="shared" si="128"/>
        <v>43280.5</v>
      </c>
      <c r="I116" s="87">
        <f t="shared" si="176"/>
        <v>200</v>
      </c>
      <c r="J116" s="86"/>
      <c r="K116" s="86"/>
      <c r="L116" s="88">
        <f t="shared" si="116"/>
        <v>43080.5</v>
      </c>
      <c r="M116" s="88"/>
      <c r="N116" s="88">
        <f t="shared" si="129"/>
        <v>11604</v>
      </c>
      <c r="O116" s="85"/>
      <c r="P116" s="83">
        <v>42979</v>
      </c>
      <c r="Q116" s="84">
        <f>Q115</f>
        <v>1.39</v>
      </c>
      <c r="R116" s="86">
        <f t="shared" si="177"/>
        <v>21490</v>
      </c>
      <c r="S116" s="87">
        <f t="shared" si="178"/>
        <v>29871</v>
      </c>
      <c r="T116" s="86">
        <f t="shared" si="162"/>
        <v>3224</v>
      </c>
      <c r="U116" s="86">
        <f t="shared" si="151"/>
        <v>300</v>
      </c>
      <c r="V116" s="86"/>
      <c r="W116" s="86">
        <f t="shared" si="188"/>
        <v>54885</v>
      </c>
      <c r="X116" s="87">
        <f t="shared" si="179"/>
        <v>200</v>
      </c>
      <c r="Y116" s="86"/>
      <c r="Z116" s="88"/>
      <c r="AA116" s="88">
        <f t="shared" si="180"/>
        <v>54685</v>
      </c>
      <c r="AB116" s="67"/>
      <c r="AC116" s="68" t="str">
        <f t="shared" si="181"/>
        <v>Sep-2017</v>
      </c>
      <c r="AD116" s="59">
        <f>AD115</f>
        <v>21490</v>
      </c>
      <c r="AE116" s="56">
        <f>IF(Arrear!$C$7="Y",AF116,IF(Arrear!$C$6="Y",AF116,0))</f>
        <v>21490</v>
      </c>
      <c r="AF116" s="58">
        <f t="shared" si="183"/>
        <v>21490</v>
      </c>
      <c r="AG116" s="58">
        <f t="shared" si="184"/>
        <v>21490</v>
      </c>
      <c r="AH116" s="58">
        <f t="shared" si="185"/>
        <v>22140</v>
      </c>
      <c r="AI116" s="58">
        <f t="shared" ref="AI116" si="207">AH116+IF(MOD(AH116*0.03,10)&gt;=1,AH116*0.03-MOD(AH116*0.03,10)+10,AH116*0.03-MOD(AH116*0.03,10))</f>
        <v>22810</v>
      </c>
      <c r="AJ116" s="69">
        <f t="shared" si="206"/>
        <v>0</v>
      </c>
      <c r="AK116" s="59">
        <f t="shared" si="126"/>
        <v>0</v>
      </c>
      <c r="AL116" s="58">
        <f t="shared" si="136"/>
        <v>0</v>
      </c>
      <c r="AM116" s="69">
        <f t="shared" si="134"/>
        <v>21490</v>
      </c>
    </row>
    <row r="117" spans="1:41" s="70" customFormat="1" ht="15" customHeight="1" x14ac:dyDescent="0.25">
      <c r="A117" s="83">
        <v>43009</v>
      </c>
      <c r="B117" s="84">
        <v>0.85</v>
      </c>
      <c r="C117" s="85">
        <f t="shared" si="127"/>
        <v>21930</v>
      </c>
      <c r="D117" s="86">
        <f t="shared" si="174"/>
        <v>18641</v>
      </c>
      <c r="E117" s="86">
        <f t="shared" si="175"/>
        <v>3289.5</v>
      </c>
      <c r="F117" s="86">
        <f t="shared" si="200"/>
        <v>300</v>
      </c>
      <c r="G117" s="86"/>
      <c r="H117" s="86">
        <f t="shared" si="128"/>
        <v>44160.5</v>
      </c>
      <c r="I117" s="87">
        <f t="shared" si="176"/>
        <v>200</v>
      </c>
      <c r="J117" s="86"/>
      <c r="K117" s="86"/>
      <c r="L117" s="88">
        <f t="shared" si="116"/>
        <v>43960.5</v>
      </c>
      <c r="M117" s="88"/>
      <c r="N117" s="88">
        <f t="shared" si="129"/>
        <v>11842</v>
      </c>
      <c r="O117" s="85"/>
      <c r="P117" s="83">
        <v>43009</v>
      </c>
      <c r="Q117" s="84">
        <f>Q116</f>
        <v>1.39</v>
      </c>
      <c r="R117" s="86">
        <f t="shared" si="177"/>
        <v>21930</v>
      </c>
      <c r="S117" s="87">
        <f t="shared" si="178"/>
        <v>30483</v>
      </c>
      <c r="T117" s="86">
        <f t="shared" si="162"/>
        <v>3290</v>
      </c>
      <c r="U117" s="86">
        <f t="shared" si="151"/>
        <v>300</v>
      </c>
      <c r="V117" s="86"/>
      <c r="W117" s="86">
        <f t="shared" si="188"/>
        <v>56003</v>
      </c>
      <c r="X117" s="87">
        <f t="shared" si="179"/>
        <v>200</v>
      </c>
      <c r="Y117" s="86"/>
      <c r="Z117" s="88"/>
      <c r="AA117" s="88">
        <f t="shared" si="180"/>
        <v>55803</v>
      </c>
      <c r="AB117" s="67"/>
      <c r="AC117" s="68" t="str">
        <f t="shared" si="181"/>
        <v>Oct-2017</v>
      </c>
      <c r="AD117" s="59">
        <f>AD116</f>
        <v>21490</v>
      </c>
      <c r="AE117" s="56">
        <f>IF(Arrear!$C$7="Y",AF117,IF(Arrear!$C$6="Y",AF117,0))</f>
        <v>21930</v>
      </c>
      <c r="AF117" s="58">
        <f t="shared" si="183"/>
        <v>21930</v>
      </c>
      <c r="AG117" s="58">
        <f t="shared" si="184"/>
        <v>21490</v>
      </c>
      <c r="AH117" s="58">
        <f t="shared" si="185"/>
        <v>22590</v>
      </c>
      <c r="AI117" s="58">
        <f t="shared" ref="AI117" si="208">AH117+IF(MOD(AH117*0.03,10)&gt;=1,AH117*0.03-MOD(AH117*0.03,10)+10,AH117*0.03-MOD(AH117*0.03,10))</f>
        <v>23270</v>
      </c>
      <c r="AJ117" s="69">
        <f t="shared" si="206"/>
        <v>0</v>
      </c>
      <c r="AK117" s="59">
        <f t="shared" si="126"/>
        <v>0</v>
      </c>
      <c r="AL117" s="58">
        <f t="shared" si="136"/>
        <v>0</v>
      </c>
      <c r="AM117" s="69">
        <f t="shared" si="134"/>
        <v>21930</v>
      </c>
    </row>
    <row r="118" spans="1:41" s="70" customFormat="1" ht="15" customHeight="1" x14ac:dyDescent="0.25">
      <c r="A118" s="83">
        <v>43040</v>
      </c>
      <c r="B118" s="84">
        <v>0.85</v>
      </c>
      <c r="C118" s="85">
        <f t="shared" si="127"/>
        <v>22140</v>
      </c>
      <c r="D118" s="86">
        <f t="shared" si="174"/>
        <v>18819</v>
      </c>
      <c r="E118" s="86">
        <f t="shared" si="175"/>
        <v>3321</v>
      </c>
      <c r="F118" s="86">
        <f t="shared" si="200"/>
        <v>300</v>
      </c>
      <c r="G118" s="86"/>
      <c r="H118" s="86">
        <f t="shared" si="128"/>
        <v>44580</v>
      </c>
      <c r="I118" s="87">
        <f t="shared" si="176"/>
        <v>200</v>
      </c>
      <c r="J118" s="86"/>
      <c r="K118" s="86"/>
      <c r="L118" s="88">
        <f t="shared" si="116"/>
        <v>44380</v>
      </c>
      <c r="M118" s="88"/>
      <c r="N118" s="88">
        <f t="shared" si="129"/>
        <v>11956</v>
      </c>
      <c r="O118" s="85">
        <f>C118*(Q118-B118)</f>
        <v>11955.599999999999</v>
      </c>
      <c r="P118" s="83">
        <v>43040</v>
      </c>
      <c r="Q118" s="84">
        <f>Q117</f>
        <v>1.39</v>
      </c>
      <c r="R118" s="86">
        <f t="shared" si="177"/>
        <v>22140</v>
      </c>
      <c r="S118" s="87">
        <f t="shared" si="178"/>
        <v>30775</v>
      </c>
      <c r="T118" s="86">
        <f t="shared" si="162"/>
        <v>3321</v>
      </c>
      <c r="U118" s="86">
        <f t="shared" si="151"/>
        <v>300</v>
      </c>
      <c r="V118" s="86"/>
      <c r="W118" s="86">
        <f t="shared" si="188"/>
        <v>56536</v>
      </c>
      <c r="X118" s="87">
        <f t="shared" si="179"/>
        <v>200</v>
      </c>
      <c r="Y118" s="86"/>
      <c r="Z118" s="88"/>
      <c r="AA118" s="88">
        <f t="shared" si="180"/>
        <v>56336</v>
      </c>
      <c r="AB118" s="67"/>
      <c r="AC118" s="68" t="str">
        <f t="shared" si="181"/>
        <v>Nov-2017</v>
      </c>
      <c r="AD118" s="59">
        <f>AD117</f>
        <v>21490</v>
      </c>
      <c r="AE118" s="56">
        <f>IF(Arrear!$C$7="Y",AF118,IF(Arrear!$C$6="Y",AF118,0))</f>
        <v>22140</v>
      </c>
      <c r="AF118" s="58">
        <f t="shared" si="183"/>
        <v>22140</v>
      </c>
      <c r="AG118" s="58">
        <f t="shared" si="184"/>
        <v>21490</v>
      </c>
      <c r="AH118" s="58">
        <f t="shared" si="185"/>
        <v>22810</v>
      </c>
      <c r="AI118" s="58">
        <f t="shared" ref="AI118" si="209">AH118+IF(MOD(AH118*0.03,10)&gt;=1,AH118*0.03-MOD(AH118*0.03,10)+10,AH118*0.03-MOD(AH118*0.03,10))</f>
        <v>23500</v>
      </c>
      <c r="AJ118" s="69">
        <f t="shared" si="206"/>
        <v>0</v>
      </c>
      <c r="AK118" s="59">
        <f t="shared" si="126"/>
        <v>0</v>
      </c>
      <c r="AL118" s="58">
        <f t="shared" si="136"/>
        <v>0</v>
      </c>
      <c r="AM118" s="69">
        <f t="shared" si="134"/>
        <v>22140</v>
      </c>
    </row>
    <row r="119" spans="1:41" s="70" customFormat="1" ht="15" customHeight="1" x14ac:dyDescent="0.25">
      <c r="A119" s="83">
        <v>43070</v>
      </c>
      <c r="B119" s="84">
        <v>0.85</v>
      </c>
      <c r="C119" s="85">
        <f t="shared" si="127"/>
        <v>22140</v>
      </c>
      <c r="D119" s="86">
        <f t="shared" si="174"/>
        <v>18819</v>
      </c>
      <c r="E119" s="86">
        <f t="shared" si="175"/>
        <v>3321</v>
      </c>
      <c r="F119" s="86">
        <f t="shared" si="200"/>
        <v>300</v>
      </c>
      <c r="G119" s="86"/>
      <c r="H119" s="86">
        <f t="shared" si="128"/>
        <v>44580</v>
      </c>
      <c r="I119" s="87">
        <f t="shared" si="176"/>
        <v>200</v>
      </c>
      <c r="J119" s="86"/>
      <c r="K119" s="86"/>
      <c r="L119" s="88">
        <f t="shared" si="116"/>
        <v>44380</v>
      </c>
      <c r="M119" s="88"/>
      <c r="N119" s="88">
        <f t="shared" si="129"/>
        <v>11956</v>
      </c>
      <c r="O119" s="85"/>
      <c r="P119" s="83">
        <v>43070</v>
      </c>
      <c r="Q119" s="84">
        <f>Q118</f>
        <v>1.39</v>
      </c>
      <c r="R119" s="86">
        <f t="shared" si="177"/>
        <v>22140</v>
      </c>
      <c r="S119" s="87">
        <f t="shared" si="178"/>
        <v>30775</v>
      </c>
      <c r="T119" s="86">
        <f t="shared" si="162"/>
        <v>3321</v>
      </c>
      <c r="U119" s="86">
        <f t="shared" si="151"/>
        <v>300</v>
      </c>
      <c r="V119" s="86"/>
      <c r="W119" s="86">
        <f t="shared" si="188"/>
        <v>56536</v>
      </c>
      <c r="X119" s="87">
        <f t="shared" si="179"/>
        <v>200</v>
      </c>
      <c r="Y119" s="86"/>
      <c r="Z119" s="88"/>
      <c r="AA119" s="88">
        <f t="shared" si="180"/>
        <v>56336</v>
      </c>
      <c r="AB119" s="67"/>
      <c r="AC119" s="68" t="str">
        <f t="shared" si="181"/>
        <v>Dec-2017</v>
      </c>
      <c r="AD119" s="59">
        <f t="shared" ref="AD119:AD125" si="210">AD118</f>
        <v>21490</v>
      </c>
      <c r="AE119" s="56">
        <f>IF(Arrear!$C$7="Y",AF119,IF(Arrear!$C$6="Y",AF119,0))</f>
        <v>22140</v>
      </c>
      <c r="AF119" s="58">
        <f t="shared" si="183"/>
        <v>22140</v>
      </c>
      <c r="AG119" s="58">
        <f t="shared" si="184"/>
        <v>21490</v>
      </c>
      <c r="AH119" s="58">
        <f t="shared" si="185"/>
        <v>22810</v>
      </c>
      <c r="AI119" s="58">
        <f t="shared" ref="AI119" si="211">AH119+IF(MOD(AH119*0.03,10)&gt;=1,AH119*0.03-MOD(AH119*0.03,10)+10,AH119*0.03-MOD(AH119*0.03,10))</f>
        <v>23500</v>
      </c>
      <c r="AJ119" s="69">
        <f t="shared" si="206"/>
        <v>0</v>
      </c>
      <c r="AK119" s="59">
        <f t="shared" si="126"/>
        <v>0</v>
      </c>
      <c r="AL119" s="58">
        <f t="shared" si="136"/>
        <v>0</v>
      </c>
      <c r="AM119" s="69">
        <f t="shared" si="134"/>
        <v>22140</v>
      </c>
    </row>
    <row r="120" spans="1:41" s="70" customFormat="1" ht="15" customHeight="1" x14ac:dyDescent="0.25">
      <c r="A120" s="83">
        <v>43101</v>
      </c>
      <c r="B120" s="84">
        <v>1</v>
      </c>
      <c r="C120" s="85">
        <f t="shared" si="127"/>
        <v>22140</v>
      </c>
      <c r="D120" s="86">
        <f t="shared" si="174"/>
        <v>22140</v>
      </c>
      <c r="E120" s="86">
        <f t="shared" si="175"/>
        <v>3321</v>
      </c>
      <c r="F120" s="86">
        <f t="shared" si="200"/>
        <v>300</v>
      </c>
      <c r="G120" s="86"/>
      <c r="H120" s="86">
        <f t="shared" si="128"/>
        <v>47901</v>
      </c>
      <c r="I120" s="87">
        <f t="shared" si="176"/>
        <v>200</v>
      </c>
      <c r="J120" s="86"/>
      <c r="K120" s="86"/>
      <c r="L120" s="88">
        <f t="shared" si="116"/>
        <v>47701</v>
      </c>
      <c r="M120" s="88"/>
      <c r="N120" s="88">
        <f t="shared" si="129"/>
        <v>9299</v>
      </c>
      <c r="O120" s="85"/>
      <c r="P120" s="83">
        <v>43101</v>
      </c>
      <c r="Q120" s="84">
        <v>1.42</v>
      </c>
      <c r="R120" s="86">
        <f t="shared" si="177"/>
        <v>22140</v>
      </c>
      <c r="S120" s="87">
        <f t="shared" si="178"/>
        <v>31439</v>
      </c>
      <c r="T120" s="86">
        <f t="shared" si="162"/>
        <v>3321</v>
      </c>
      <c r="U120" s="86">
        <f t="shared" si="151"/>
        <v>300</v>
      </c>
      <c r="V120" s="86"/>
      <c r="W120" s="86">
        <f t="shared" si="188"/>
        <v>57200</v>
      </c>
      <c r="X120" s="87">
        <f t="shared" si="179"/>
        <v>200</v>
      </c>
      <c r="Y120" s="86"/>
      <c r="Z120" s="88"/>
      <c r="AA120" s="88">
        <f t="shared" si="180"/>
        <v>57000</v>
      </c>
      <c r="AB120" s="67"/>
      <c r="AC120" s="68" t="str">
        <f t="shared" si="181"/>
        <v>Jan-2018</v>
      </c>
      <c r="AD120" s="59">
        <f t="shared" si="210"/>
        <v>21490</v>
      </c>
      <c r="AE120" s="56">
        <f>IF(Arrear!$C$7="Y",AF120,IF(Arrear!$C$6="Y",AF120,0))</f>
        <v>22140</v>
      </c>
      <c r="AF120" s="58">
        <f t="shared" si="183"/>
        <v>22140</v>
      </c>
      <c r="AG120" s="58">
        <f t="shared" si="184"/>
        <v>21490</v>
      </c>
      <c r="AH120" s="58">
        <f t="shared" si="185"/>
        <v>22810</v>
      </c>
      <c r="AI120" s="58">
        <f t="shared" ref="AI120" si="212">AH120+IF(MOD(AH120*0.03,10)&gt;=1,AH120*0.03-MOD(AH120*0.03,10)+10,AH120*0.03-MOD(AH120*0.03,10))</f>
        <v>23500</v>
      </c>
      <c r="AJ120" s="69">
        <f t="shared" si="206"/>
        <v>0</v>
      </c>
      <c r="AK120" s="59">
        <f t="shared" si="126"/>
        <v>0</v>
      </c>
      <c r="AL120" s="58">
        <f t="shared" si="136"/>
        <v>0</v>
      </c>
      <c r="AM120" s="69">
        <f t="shared" si="134"/>
        <v>22140</v>
      </c>
    </row>
    <row r="121" spans="1:41" s="72" customFormat="1" ht="15" customHeight="1" x14ac:dyDescent="0.25">
      <c r="A121" s="83">
        <v>43132</v>
      </c>
      <c r="B121" s="84">
        <v>1</v>
      </c>
      <c r="C121" s="85">
        <f t="shared" si="127"/>
        <v>22140</v>
      </c>
      <c r="D121" s="86">
        <f t="shared" si="174"/>
        <v>22140</v>
      </c>
      <c r="E121" s="86">
        <f t="shared" si="175"/>
        <v>3321</v>
      </c>
      <c r="F121" s="86">
        <f t="shared" si="200"/>
        <v>300</v>
      </c>
      <c r="G121" s="86"/>
      <c r="H121" s="86">
        <f t="shared" si="128"/>
        <v>47901</v>
      </c>
      <c r="I121" s="87">
        <f t="shared" si="176"/>
        <v>200</v>
      </c>
      <c r="J121" s="86"/>
      <c r="K121" s="86"/>
      <c r="L121" s="88">
        <f t="shared" si="116"/>
        <v>47701</v>
      </c>
      <c r="M121" s="88"/>
      <c r="N121" s="88">
        <f t="shared" si="129"/>
        <v>9299</v>
      </c>
      <c r="O121" s="85"/>
      <c r="P121" s="83">
        <v>43132</v>
      </c>
      <c r="Q121" s="84">
        <f>Q120</f>
        <v>1.42</v>
      </c>
      <c r="R121" s="86">
        <f t="shared" si="177"/>
        <v>22140</v>
      </c>
      <c r="S121" s="87">
        <f t="shared" si="178"/>
        <v>31439</v>
      </c>
      <c r="T121" s="86">
        <f t="shared" si="162"/>
        <v>3321</v>
      </c>
      <c r="U121" s="86">
        <f t="shared" si="151"/>
        <v>300</v>
      </c>
      <c r="V121" s="86"/>
      <c r="W121" s="86">
        <f t="shared" si="188"/>
        <v>57200</v>
      </c>
      <c r="X121" s="87">
        <f t="shared" si="179"/>
        <v>200</v>
      </c>
      <c r="Y121" s="86"/>
      <c r="Z121" s="88"/>
      <c r="AA121" s="88">
        <f t="shared" si="180"/>
        <v>57000</v>
      </c>
      <c r="AB121" s="67"/>
      <c r="AC121" s="68" t="str">
        <f t="shared" si="181"/>
        <v>Feb-2018</v>
      </c>
      <c r="AD121" s="62">
        <f t="shared" si="210"/>
        <v>21490</v>
      </c>
      <c r="AE121" s="56">
        <f>IF(Arrear!$C$7="Y",AF121,IF(Arrear!$C$6="Y",AF121,0))</f>
        <v>22140</v>
      </c>
      <c r="AF121" s="58">
        <f t="shared" si="183"/>
        <v>22140</v>
      </c>
      <c r="AG121" s="58">
        <f t="shared" si="184"/>
        <v>21490</v>
      </c>
      <c r="AH121" s="58">
        <f t="shared" si="185"/>
        <v>22810</v>
      </c>
      <c r="AI121" s="58">
        <f t="shared" ref="AI121" si="213">AH121+IF(MOD(AH121*0.03,10)&gt;=1,AH121*0.03-MOD(AH121*0.03,10)+10,AH121*0.03-MOD(AH121*0.03,10))</f>
        <v>23500</v>
      </c>
      <c r="AJ121" s="69">
        <f t="shared" si="206"/>
        <v>0</v>
      </c>
      <c r="AK121" s="59">
        <f t="shared" si="126"/>
        <v>0</v>
      </c>
      <c r="AL121" s="58">
        <f t="shared" si="136"/>
        <v>0</v>
      </c>
      <c r="AM121" s="69">
        <f t="shared" si="134"/>
        <v>22140</v>
      </c>
    </row>
    <row r="122" spans="1:41" s="70" customFormat="1" ht="15" customHeight="1" x14ac:dyDescent="0.25">
      <c r="A122" s="83">
        <v>43160</v>
      </c>
      <c r="B122" s="84">
        <v>1</v>
      </c>
      <c r="C122" s="85">
        <f t="shared" si="127"/>
        <v>22140</v>
      </c>
      <c r="D122" s="86">
        <f t="shared" si="174"/>
        <v>22140</v>
      </c>
      <c r="E122" s="86">
        <f t="shared" si="175"/>
        <v>3321</v>
      </c>
      <c r="F122" s="86">
        <f t="shared" si="200"/>
        <v>300</v>
      </c>
      <c r="G122" s="86"/>
      <c r="H122" s="86">
        <f t="shared" si="128"/>
        <v>47901</v>
      </c>
      <c r="I122" s="87">
        <f t="shared" si="176"/>
        <v>200</v>
      </c>
      <c r="J122" s="86"/>
      <c r="K122" s="86"/>
      <c r="L122" s="88">
        <f t="shared" si="116"/>
        <v>47701</v>
      </c>
      <c r="M122" s="88"/>
      <c r="N122" s="88">
        <f t="shared" si="129"/>
        <v>9299</v>
      </c>
      <c r="O122" s="85"/>
      <c r="P122" s="83">
        <v>43160</v>
      </c>
      <c r="Q122" s="84">
        <f>Q121</f>
        <v>1.42</v>
      </c>
      <c r="R122" s="86">
        <f t="shared" si="177"/>
        <v>22140</v>
      </c>
      <c r="S122" s="87">
        <f t="shared" si="178"/>
        <v>31439</v>
      </c>
      <c r="T122" s="86">
        <f t="shared" si="162"/>
        <v>3321</v>
      </c>
      <c r="U122" s="86">
        <f t="shared" si="151"/>
        <v>300</v>
      </c>
      <c r="V122" s="86"/>
      <c r="W122" s="86">
        <f t="shared" si="188"/>
        <v>57200</v>
      </c>
      <c r="X122" s="87">
        <f t="shared" si="179"/>
        <v>200</v>
      </c>
      <c r="Y122" s="86"/>
      <c r="Z122" s="86"/>
      <c r="AA122" s="88">
        <f t="shared" si="180"/>
        <v>57000</v>
      </c>
      <c r="AB122" s="67"/>
      <c r="AC122" s="68" t="str">
        <f t="shared" si="181"/>
        <v>Mar-2018</v>
      </c>
      <c r="AD122" s="59">
        <f t="shared" si="210"/>
        <v>21490</v>
      </c>
      <c r="AE122" s="56">
        <f>IF(Arrear!$C$7="Y",AF122,IF(Arrear!$C$6="Y",AF122,0))</f>
        <v>22140</v>
      </c>
      <c r="AF122" s="58">
        <f t="shared" si="183"/>
        <v>22140</v>
      </c>
      <c r="AG122" s="58">
        <f t="shared" si="184"/>
        <v>21490</v>
      </c>
      <c r="AH122" s="58">
        <f t="shared" si="185"/>
        <v>22810</v>
      </c>
      <c r="AI122" s="58">
        <f t="shared" ref="AI122" si="214">AH122+IF(MOD(AH122*0.03,10)&gt;=1,AH122*0.03-MOD(AH122*0.03,10)+10,AH122*0.03-MOD(AH122*0.03,10))</f>
        <v>23500</v>
      </c>
      <c r="AJ122" s="69">
        <f t="shared" si="206"/>
        <v>0</v>
      </c>
      <c r="AK122" s="59">
        <f t="shared" si="126"/>
        <v>0</v>
      </c>
      <c r="AL122" s="58">
        <f t="shared" si="136"/>
        <v>0</v>
      </c>
      <c r="AM122" s="69">
        <f t="shared" si="134"/>
        <v>22140</v>
      </c>
    </row>
    <row r="123" spans="1:41" s="70" customFormat="1" ht="15" customHeight="1" x14ac:dyDescent="0.25">
      <c r="A123" s="83">
        <v>43191</v>
      </c>
      <c r="B123" s="84">
        <v>1</v>
      </c>
      <c r="C123" s="85">
        <f t="shared" si="127"/>
        <v>22140</v>
      </c>
      <c r="D123" s="86">
        <f t="shared" si="174"/>
        <v>22140</v>
      </c>
      <c r="E123" s="86">
        <f t="shared" si="175"/>
        <v>3321</v>
      </c>
      <c r="F123" s="86">
        <f t="shared" si="200"/>
        <v>300</v>
      </c>
      <c r="G123" s="86"/>
      <c r="H123" s="86">
        <f t="shared" si="128"/>
        <v>47901</v>
      </c>
      <c r="I123" s="87">
        <f t="shared" si="176"/>
        <v>200</v>
      </c>
      <c r="J123" s="86"/>
      <c r="K123" s="86"/>
      <c r="L123" s="88">
        <f t="shared" si="116"/>
        <v>47701</v>
      </c>
      <c r="M123" s="88"/>
      <c r="N123" s="88">
        <f t="shared" si="129"/>
        <v>9299</v>
      </c>
      <c r="O123" s="85"/>
      <c r="P123" s="83">
        <v>43191</v>
      </c>
      <c r="Q123" s="84">
        <f>Q122</f>
        <v>1.42</v>
      </c>
      <c r="R123" s="86">
        <f t="shared" si="177"/>
        <v>22140</v>
      </c>
      <c r="S123" s="87">
        <f t="shared" si="178"/>
        <v>31439</v>
      </c>
      <c r="T123" s="86">
        <f t="shared" si="162"/>
        <v>3321</v>
      </c>
      <c r="U123" s="86">
        <f t="shared" si="151"/>
        <v>300</v>
      </c>
      <c r="V123" s="86"/>
      <c r="W123" s="86">
        <f t="shared" si="188"/>
        <v>57200</v>
      </c>
      <c r="X123" s="87">
        <f t="shared" si="179"/>
        <v>200</v>
      </c>
      <c r="Y123" s="86"/>
      <c r="Z123" s="86"/>
      <c r="AA123" s="88">
        <f t="shared" si="180"/>
        <v>57000</v>
      </c>
      <c r="AB123" s="67"/>
      <c r="AC123" s="68" t="str">
        <f t="shared" si="181"/>
        <v>Apr-2018</v>
      </c>
      <c r="AD123" s="59">
        <f t="shared" si="210"/>
        <v>21490</v>
      </c>
      <c r="AE123" s="56">
        <f>IF(Arrear!$C$7="Y",AF123,IF(Arrear!$C$6="Y",AF123,0))</f>
        <v>22140</v>
      </c>
      <c r="AF123" s="58">
        <f t="shared" si="183"/>
        <v>22140</v>
      </c>
      <c r="AG123" s="58">
        <f t="shared" si="184"/>
        <v>21490</v>
      </c>
      <c r="AH123" s="58">
        <f t="shared" si="185"/>
        <v>22810</v>
      </c>
      <c r="AI123" s="58">
        <f t="shared" ref="AI123" si="215">AH123+IF(MOD(AH123*0.03,10)&gt;=1,AH123*0.03-MOD(AH123*0.03,10)+10,AH123*0.03-MOD(AH123*0.03,10))</f>
        <v>23500</v>
      </c>
      <c r="AJ123" s="69">
        <f t="shared" si="206"/>
        <v>0</v>
      </c>
      <c r="AK123" s="59">
        <f t="shared" si="126"/>
        <v>0</v>
      </c>
      <c r="AL123" s="58">
        <f>AK123+IF(MOD(AK123*0.03,10)&gt;=1,AK123*0.03-MOD(AK123*0.03,10)+10,AK123*0.03-MOD(AK123*0.03,10))</f>
        <v>0</v>
      </c>
      <c r="AM123" s="69">
        <f t="shared" si="134"/>
        <v>22140</v>
      </c>
    </row>
    <row r="124" spans="1:41" s="70" customFormat="1" ht="15" customHeight="1" x14ac:dyDescent="0.25">
      <c r="A124" s="83">
        <v>43221</v>
      </c>
      <c r="B124" s="84">
        <v>1</v>
      </c>
      <c r="C124" s="85">
        <f t="shared" si="127"/>
        <v>22140</v>
      </c>
      <c r="D124" s="86">
        <f t="shared" si="174"/>
        <v>22140</v>
      </c>
      <c r="E124" s="86">
        <f t="shared" si="175"/>
        <v>3321</v>
      </c>
      <c r="F124" s="86">
        <f t="shared" si="200"/>
        <v>300</v>
      </c>
      <c r="G124" s="86"/>
      <c r="H124" s="86">
        <f t="shared" si="128"/>
        <v>47901</v>
      </c>
      <c r="I124" s="87">
        <f t="shared" si="176"/>
        <v>200</v>
      </c>
      <c r="J124" s="86"/>
      <c r="K124" s="86"/>
      <c r="L124" s="88">
        <f t="shared" si="116"/>
        <v>47701</v>
      </c>
      <c r="M124" s="88"/>
      <c r="N124" s="88">
        <f t="shared" si="129"/>
        <v>9299</v>
      </c>
      <c r="O124" s="85"/>
      <c r="P124" s="83">
        <v>43221</v>
      </c>
      <c r="Q124" s="84">
        <f>Q123</f>
        <v>1.42</v>
      </c>
      <c r="R124" s="86">
        <f t="shared" si="177"/>
        <v>22140</v>
      </c>
      <c r="S124" s="87">
        <f t="shared" si="178"/>
        <v>31439</v>
      </c>
      <c r="T124" s="86">
        <f t="shared" si="162"/>
        <v>3321</v>
      </c>
      <c r="U124" s="86">
        <f t="shared" si="151"/>
        <v>300</v>
      </c>
      <c r="V124" s="86"/>
      <c r="W124" s="86">
        <f t="shared" si="188"/>
        <v>57200</v>
      </c>
      <c r="X124" s="87">
        <f t="shared" si="179"/>
        <v>200</v>
      </c>
      <c r="Y124" s="86"/>
      <c r="Z124" s="86"/>
      <c r="AA124" s="88">
        <f t="shared" si="180"/>
        <v>57000</v>
      </c>
      <c r="AB124" s="67"/>
      <c r="AC124" s="68" t="str">
        <f t="shared" si="181"/>
        <v>May-2018</v>
      </c>
      <c r="AD124" s="59">
        <f t="shared" si="210"/>
        <v>21490</v>
      </c>
      <c r="AE124" s="56">
        <f>IF(Arrear!$C$7="Y",AF124,IF(Arrear!$C$6="Y",AF124,0))</f>
        <v>22140</v>
      </c>
      <c r="AF124" s="58">
        <f t="shared" si="183"/>
        <v>22140</v>
      </c>
      <c r="AG124" s="58">
        <f t="shared" si="184"/>
        <v>21490</v>
      </c>
      <c r="AH124" s="58">
        <f t="shared" si="185"/>
        <v>22810</v>
      </c>
      <c r="AI124" s="58">
        <f t="shared" ref="AI124" si="216">AH124+IF(MOD(AH124*0.03,10)&gt;=1,AH124*0.03-MOD(AH124*0.03,10)+10,AH124*0.03-MOD(AH124*0.03,10))</f>
        <v>23500</v>
      </c>
      <c r="AJ124" s="69">
        <f t="shared" si="206"/>
        <v>0</v>
      </c>
      <c r="AK124" s="59">
        <f t="shared" si="126"/>
        <v>0</v>
      </c>
      <c r="AL124" s="58">
        <f t="shared" ref="AL124:AL143" si="217">AK124+IF(MOD(AK124*0.03,10)&gt;=1,AK124*0.03-MOD(AK124*0.03,10)+10,AK124*0.03-MOD(AK124*0.03,10))</f>
        <v>0</v>
      </c>
      <c r="AM124" s="69">
        <f t="shared" si="134"/>
        <v>22140</v>
      </c>
    </row>
    <row r="125" spans="1:41" s="70" customFormat="1" ht="15" customHeight="1" x14ac:dyDescent="0.25">
      <c r="A125" s="83">
        <v>43252</v>
      </c>
      <c r="B125" s="84">
        <v>1</v>
      </c>
      <c r="C125" s="85">
        <f t="shared" si="127"/>
        <v>22140</v>
      </c>
      <c r="D125" s="86">
        <f t="shared" si="174"/>
        <v>22140</v>
      </c>
      <c r="E125" s="86">
        <f t="shared" si="175"/>
        <v>3321</v>
      </c>
      <c r="F125" s="86">
        <f t="shared" si="200"/>
        <v>300</v>
      </c>
      <c r="G125" s="86"/>
      <c r="H125" s="86">
        <f t="shared" si="128"/>
        <v>47901</v>
      </c>
      <c r="I125" s="87">
        <f t="shared" si="176"/>
        <v>200</v>
      </c>
      <c r="J125" s="86"/>
      <c r="K125" s="86"/>
      <c r="L125" s="88">
        <f t="shared" si="116"/>
        <v>47701</v>
      </c>
      <c r="M125" s="88"/>
      <c r="N125" s="88">
        <f t="shared" si="129"/>
        <v>9299</v>
      </c>
      <c r="O125" s="85"/>
      <c r="P125" s="83">
        <v>43252</v>
      </c>
      <c r="Q125" s="84">
        <f>Q124</f>
        <v>1.42</v>
      </c>
      <c r="R125" s="86">
        <f t="shared" si="177"/>
        <v>22140</v>
      </c>
      <c r="S125" s="87">
        <f t="shared" si="178"/>
        <v>31439</v>
      </c>
      <c r="T125" s="86">
        <f t="shared" si="162"/>
        <v>3321</v>
      </c>
      <c r="U125" s="86">
        <f t="shared" si="151"/>
        <v>300</v>
      </c>
      <c r="V125" s="86"/>
      <c r="W125" s="86">
        <f t="shared" si="188"/>
        <v>57200</v>
      </c>
      <c r="X125" s="87">
        <f t="shared" si="179"/>
        <v>200</v>
      </c>
      <c r="Y125" s="86"/>
      <c r="Z125" s="86"/>
      <c r="AA125" s="88">
        <f t="shared" si="180"/>
        <v>57000</v>
      </c>
      <c r="AB125" s="67"/>
      <c r="AC125" s="68" t="str">
        <f t="shared" si="181"/>
        <v>Jun-2018</v>
      </c>
      <c r="AD125" s="59">
        <f t="shared" si="210"/>
        <v>21490</v>
      </c>
      <c r="AE125" s="56">
        <f>IF(Arrear!$C$7="Y",AF125,IF(Arrear!$C$6="Y",AF125,0))</f>
        <v>22140</v>
      </c>
      <c r="AF125" s="58">
        <f t="shared" si="183"/>
        <v>22140</v>
      </c>
      <c r="AG125" s="58">
        <f t="shared" si="184"/>
        <v>21490</v>
      </c>
      <c r="AH125" s="58">
        <f t="shared" si="185"/>
        <v>22810</v>
      </c>
      <c r="AI125" s="58">
        <f t="shared" ref="AI125" si="218">AH125+IF(MOD(AH125*0.03,10)&gt;=1,AH125*0.03-MOD(AH125*0.03,10)+10,AH125*0.03-MOD(AH125*0.03,10))</f>
        <v>23500</v>
      </c>
      <c r="AJ125" s="69">
        <f t="shared" si="206"/>
        <v>0</v>
      </c>
      <c r="AK125" s="59">
        <f t="shared" si="126"/>
        <v>0</v>
      </c>
      <c r="AL125" s="58">
        <f t="shared" si="217"/>
        <v>0</v>
      </c>
      <c r="AM125" s="69">
        <f t="shared" si="134"/>
        <v>22140</v>
      </c>
    </row>
    <row r="126" spans="1:41" s="70" customFormat="1" ht="15" customHeight="1" x14ac:dyDescent="0.25">
      <c r="A126" s="83">
        <v>43282</v>
      </c>
      <c r="B126" s="84">
        <v>1</v>
      </c>
      <c r="C126" s="85">
        <f t="shared" si="127"/>
        <v>22810</v>
      </c>
      <c r="D126" s="86">
        <f t="shared" si="174"/>
        <v>22810</v>
      </c>
      <c r="E126" s="86">
        <f t="shared" si="175"/>
        <v>3421.5</v>
      </c>
      <c r="F126" s="86">
        <f t="shared" si="200"/>
        <v>300</v>
      </c>
      <c r="G126" s="86"/>
      <c r="H126" s="86">
        <f t="shared" si="128"/>
        <v>49341.5</v>
      </c>
      <c r="I126" s="87">
        <f t="shared" si="176"/>
        <v>200</v>
      </c>
      <c r="J126" s="86"/>
      <c r="K126" s="86"/>
      <c r="L126" s="88">
        <f t="shared" si="116"/>
        <v>49141.5</v>
      </c>
      <c r="M126" s="88"/>
      <c r="N126" s="88">
        <f t="shared" si="129"/>
        <v>10949</v>
      </c>
      <c r="O126" s="85"/>
      <c r="P126" s="83">
        <v>43282</v>
      </c>
      <c r="Q126" s="84">
        <v>1.48</v>
      </c>
      <c r="R126" s="86">
        <f t="shared" si="177"/>
        <v>22810</v>
      </c>
      <c r="S126" s="87">
        <f t="shared" si="178"/>
        <v>33759</v>
      </c>
      <c r="T126" s="86">
        <f t="shared" si="162"/>
        <v>3422</v>
      </c>
      <c r="U126" s="86">
        <f t="shared" si="151"/>
        <v>300</v>
      </c>
      <c r="V126" s="86"/>
      <c r="W126" s="86">
        <f t="shared" si="188"/>
        <v>60291</v>
      </c>
      <c r="X126" s="87">
        <f t="shared" si="179"/>
        <v>200</v>
      </c>
      <c r="Y126" s="86"/>
      <c r="Z126" s="86"/>
      <c r="AA126" s="88">
        <f t="shared" si="180"/>
        <v>60091</v>
      </c>
      <c r="AB126" s="67"/>
      <c r="AC126" s="68" t="str">
        <f t="shared" si="181"/>
        <v>Jul-2018</v>
      </c>
      <c r="AD126" s="59">
        <f>AD114+IF(MOD(AD114*0.03,10)&gt;=1,AD114*0.03-MOD(AD114*0.03,10)+10,AD114*0.03-MOD(AD114*0.03,10))</f>
        <v>22140</v>
      </c>
      <c r="AE126" s="75">
        <f>IF(Arrear!$C$7="Y",AG126,IF(Arrear!$C$6="Y",AF126,0))</f>
        <v>22810</v>
      </c>
      <c r="AF126" s="77">
        <f t="shared" si="183"/>
        <v>22810</v>
      </c>
      <c r="AG126" s="77">
        <f t="shared" si="184"/>
        <v>22810</v>
      </c>
      <c r="AH126" s="58">
        <f t="shared" si="185"/>
        <v>23500</v>
      </c>
      <c r="AI126" s="58">
        <f t="shared" ref="AI126" si="219">AH126+IF(MOD(AH126*0.03,10)&gt;=1,AH126*0.03-MOD(AH126*0.03,10)+10,AH126*0.03-MOD(AH126*0.03,10))</f>
        <v>24210</v>
      </c>
      <c r="AJ126" s="69">
        <f>IF(TEXT($O$7,"mmm-yyy")=AC126,$M$2,AJ125+IF(MOD(AJ125*0.03,10)&gt;=1,AJ125*0.03-MOD(AJ125*0.03,10)+10,AJ125*0.03-MOD(AJ125*0.03,10)))</f>
        <v>0</v>
      </c>
      <c r="AK126" s="59">
        <f>IF(TEXT($O$7,"mmm-yyy")=AC126,(AJ126-(ROUND(AJ126/(DAY(EOMONTH(A126,0)))*(DAY($O$7)-1),0))),IF(AC125=TEXT($O$7,"mmm-yyy"),AJ126,IF(AK125=0,AJ126,IF(AND(TEXT(A126,"mmm")="Jul",TEXT(A126,"yyy")=TEXT(Arrear!$B$2,"yyy")),AK125,AL125))))</f>
        <v>0</v>
      </c>
      <c r="AL126" s="58">
        <f t="shared" si="217"/>
        <v>0</v>
      </c>
      <c r="AM126" s="69">
        <f t="shared" si="134"/>
        <v>22810</v>
      </c>
    </row>
    <row r="127" spans="1:41" s="70" customFormat="1" ht="15" customHeight="1" x14ac:dyDescent="0.25">
      <c r="A127" s="83">
        <v>43313</v>
      </c>
      <c r="B127" s="84">
        <v>1</v>
      </c>
      <c r="C127" s="85">
        <f t="shared" si="127"/>
        <v>22810</v>
      </c>
      <c r="D127" s="86">
        <f t="shared" si="174"/>
        <v>22810</v>
      </c>
      <c r="E127" s="86">
        <f t="shared" si="175"/>
        <v>3421.5</v>
      </c>
      <c r="F127" s="86">
        <f t="shared" si="200"/>
        <v>300</v>
      </c>
      <c r="G127" s="86"/>
      <c r="H127" s="86">
        <f t="shared" si="128"/>
        <v>49341.5</v>
      </c>
      <c r="I127" s="87">
        <f t="shared" si="176"/>
        <v>200</v>
      </c>
      <c r="J127" s="86"/>
      <c r="K127" s="86"/>
      <c r="L127" s="88">
        <f t="shared" si="116"/>
        <v>49141.5</v>
      </c>
      <c r="M127" s="88"/>
      <c r="N127" s="88">
        <f t="shared" si="129"/>
        <v>10949</v>
      </c>
      <c r="O127" s="85"/>
      <c r="P127" s="83">
        <v>43313</v>
      </c>
      <c r="Q127" s="84">
        <f>Q126</f>
        <v>1.48</v>
      </c>
      <c r="R127" s="86">
        <f t="shared" si="177"/>
        <v>22810</v>
      </c>
      <c r="S127" s="87">
        <f t="shared" si="178"/>
        <v>33759</v>
      </c>
      <c r="T127" s="86">
        <f t="shared" si="162"/>
        <v>3422</v>
      </c>
      <c r="U127" s="86">
        <f t="shared" si="151"/>
        <v>300</v>
      </c>
      <c r="V127" s="86"/>
      <c r="W127" s="86">
        <f t="shared" si="188"/>
        <v>60291</v>
      </c>
      <c r="X127" s="87">
        <f t="shared" si="179"/>
        <v>200</v>
      </c>
      <c r="Y127" s="86"/>
      <c r="Z127" s="86"/>
      <c r="AA127" s="88">
        <f t="shared" si="180"/>
        <v>60091</v>
      </c>
      <c r="AB127" s="67"/>
      <c r="AC127" s="68" t="str">
        <f t="shared" si="181"/>
        <v>Aug-2018</v>
      </c>
      <c r="AD127" s="59">
        <f t="shared" ref="AD127:AD137" si="220">AD126</f>
        <v>22140</v>
      </c>
      <c r="AE127" s="75">
        <f>IF(Arrear!$C$7="Y",AG127,IF(Arrear!$C$6="Y",AF127,0))</f>
        <v>22810</v>
      </c>
      <c r="AF127" s="58">
        <f t="shared" si="183"/>
        <v>22810</v>
      </c>
      <c r="AG127" s="58">
        <f t="shared" si="184"/>
        <v>22810</v>
      </c>
      <c r="AH127" s="58">
        <f t="shared" si="185"/>
        <v>23500</v>
      </c>
      <c r="AI127" s="58">
        <f t="shared" ref="AI127" si="221">AH127+IF(MOD(AH127*0.03,10)&gt;=1,AH127*0.03-MOD(AH127*0.03,10)+10,AH127*0.03-MOD(AH127*0.03,10))</f>
        <v>24210</v>
      </c>
      <c r="AJ127" s="69">
        <f t="shared" ref="AJ127:AJ137" si="222">IF(TEXT($O$7,"mmm-yyy")=AC127,$M$2,AJ126)</f>
        <v>0</v>
      </c>
      <c r="AK127" s="59">
        <f t="shared" ref="AK126:AK137" si="223">IF(TEXT($O$7,"mmm-yyy")=AC127,(AJ127-(ROUND(AJ127/(DAY(EOMONTH(A127,0)))*(DAY($O$7)-1),0))),IF(AC126=TEXT($O$7,"mmm-yyy"),AJ127,IF(AK126=0,AJ127,IF(TEXT(A127,"mmm")="Jul",AL126,AK126))))</f>
        <v>0</v>
      </c>
      <c r="AL127" s="58">
        <f t="shared" si="217"/>
        <v>0</v>
      </c>
      <c r="AM127" s="69">
        <f t="shared" si="134"/>
        <v>22810</v>
      </c>
    </row>
    <row r="128" spans="1:41" s="70" customFormat="1" ht="15" customHeight="1" x14ac:dyDescent="0.25">
      <c r="A128" s="83">
        <v>43344</v>
      </c>
      <c r="B128" s="84">
        <v>1</v>
      </c>
      <c r="C128" s="85">
        <f t="shared" si="127"/>
        <v>22810</v>
      </c>
      <c r="D128" s="86">
        <f t="shared" si="174"/>
        <v>22810</v>
      </c>
      <c r="E128" s="86">
        <f t="shared" si="175"/>
        <v>3421.5</v>
      </c>
      <c r="F128" s="86">
        <f t="shared" si="200"/>
        <v>300</v>
      </c>
      <c r="G128" s="86"/>
      <c r="H128" s="86">
        <f t="shared" si="128"/>
        <v>49341.5</v>
      </c>
      <c r="I128" s="87">
        <f t="shared" si="176"/>
        <v>200</v>
      </c>
      <c r="J128" s="86"/>
      <c r="K128" s="86"/>
      <c r="L128" s="88">
        <f t="shared" si="116"/>
        <v>49141.5</v>
      </c>
      <c r="M128" s="88"/>
      <c r="N128" s="88">
        <f t="shared" si="129"/>
        <v>10949</v>
      </c>
      <c r="O128" s="85"/>
      <c r="P128" s="83">
        <v>43344</v>
      </c>
      <c r="Q128" s="84">
        <f>Q127</f>
        <v>1.48</v>
      </c>
      <c r="R128" s="86">
        <f t="shared" si="177"/>
        <v>22810</v>
      </c>
      <c r="S128" s="87">
        <f t="shared" si="178"/>
        <v>33759</v>
      </c>
      <c r="T128" s="86">
        <f t="shared" si="162"/>
        <v>3422</v>
      </c>
      <c r="U128" s="86">
        <f t="shared" si="151"/>
        <v>300</v>
      </c>
      <c r="V128" s="86"/>
      <c r="W128" s="86">
        <f t="shared" si="188"/>
        <v>60291</v>
      </c>
      <c r="X128" s="87">
        <f t="shared" si="179"/>
        <v>200</v>
      </c>
      <c r="Y128" s="86"/>
      <c r="Z128" s="86"/>
      <c r="AA128" s="88">
        <f t="shared" si="180"/>
        <v>60091</v>
      </c>
      <c r="AB128" s="67"/>
      <c r="AC128" s="68" t="str">
        <f t="shared" si="181"/>
        <v>Sep-2018</v>
      </c>
      <c r="AD128" s="59">
        <f t="shared" si="220"/>
        <v>22140</v>
      </c>
      <c r="AE128" s="75">
        <f>IF(Arrear!$C$7="Y",AG128,IF(Arrear!$C$6="Y",AF128,0))</f>
        <v>22810</v>
      </c>
      <c r="AF128" s="58">
        <f t="shared" si="183"/>
        <v>22810</v>
      </c>
      <c r="AG128" s="58">
        <f t="shared" si="184"/>
        <v>22810</v>
      </c>
      <c r="AH128" s="58">
        <f t="shared" si="185"/>
        <v>23500</v>
      </c>
      <c r="AI128" s="58">
        <f t="shared" ref="AI128" si="224">AH128+IF(MOD(AH128*0.03,10)&gt;=1,AH128*0.03-MOD(AH128*0.03,10)+10,AH128*0.03-MOD(AH128*0.03,10))</f>
        <v>24210</v>
      </c>
      <c r="AJ128" s="69">
        <f t="shared" si="222"/>
        <v>0</v>
      </c>
      <c r="AK128" s="59">
        <f t="shared" si="223"/>
        <v>0</v>
      </c>
      <c r="AL128" s="58">
        <f t="shared" si="217"/>
        <v>0</v>
      </c>
      <c r="AM128" s="69">
        <f t="shared" si="134"/>
        <v>22810</v>
      </c>
    </row>
    <row r="129" spans="1:40" s="70" customFormat="1" ht="15" customHeight="1" x14ac:dyDescent="0.25">
      <c r="A129" s="83">
        <v>43374</v>
      </c>
      <c r="B129" s="84">
        <v>1</v>
      </c>
      <c r="C129" s="85">
        <f t="shared" si="127"/>
        <v>22810</v>
      </c>
      <c r="D129" s="86">
        <f t="shared" si="174"/>
        <v>22810</v>
      </c>
      <c r="E129" s="86">
        <f t="shared" si="175"/>
        <v>3421.5</v>
      </c>
      <c r="F129" s="86">
        <f t="shared" si="200"/>
        <v>300</v>
      </c>
      <c r="G129" s="86"/>
      <c r="H129" s="86">
        <f t="shared" si="128"/>
        <v>49341.5</v>
      </c>
      <c r="I129" s="87">
        <f t="shared" si="176"/>
        <v>200</v>
      </c>
      <c r="J129" s="86"/>
      <c r="K129" s="86"/>
      <c r="L129" s="88">
        <f t="shared" si="116"/>
        <v>49141.5</v>
      </c>
      <c r="M129" s="88"/>
      <c r="N129" s="88">
        <f t="shared" si="129"/>
        <v>10949</v>
      </c>
      <c r="O129" s="85"/>
      <c r="P129" s="83">
        <v>43374</v>
      </c>
      <c r="Q129" s="84">
        <f>Q128</f>
        <v>1.48</v>
      </c>
      <c r="R129" s="86">
        <f t="shared" si="177"/>
        <v>22810</v>
      </c>
      <c r="S129" s="87">
        <f t="shared" si="178"/>
        <v>33759</v>
      </c>
      <c r="T129" s="86">
        <f t="shared" si="162"/>
        <v>3422</v>
      </c>
      <c r="U129" s="86">
        <f t="shared" si="151"/>
        <v>300</v>
      </c>
      <c r="V129" s="86"/>
      <c r="W129" s="86">
        <f t="shared" si="188"/>
        <v>60291</v>
      </c>
      <c r="X129" s="87">
        <f t="shared" si="179"/>
        <v>200</v>
      </c>
      <c r="Y129" s="86"/>
      <c r="Z129" s="86"/>
      <c r="AA129" s="88">
        <f t="shared" si="180"/>
        <v>60091</v>
      </c>
      <c r="AB129" s="67"/>
      <c r="AC129" s="68" t="str">
        <f t="shared" si="181"/>
        <v>Oct-2018</v>
      </c>
      <c r="AD129" s="59">
        <f t="shared" si="220"/>
        <v>22140</v>
      </c>
      <c r="AE129" s="75">
        <f>IF(Arrear!$C$7="Y",AG129,IF(Arrear!$C$6="Y",AF129,0))</f>
        <v>22810</v>
      </c>
      <c r="AF129" s="58">
        <f t="shared" si="183"/>
        <v>22810</v>
      </c>
      <c r="AG129" s="58">
        <f t="shared" si="184"/>
        <v>22810</v>
      </c>
      <c r="AH129" s="58">
        <f t="shared" si="185"/>
        <v>23500</v>
      </c>
      <c r="AI129" s="58">
        <f t="shared" ref="AI129" si="225">AH129+IF(MOD(AH129*0.03,10)&gt;=1,AH129*0.03-MOD(AH129*0.03,10)+10,AH129*0.03-MOD(AH129*0.03,10))</f>
        <v>24210</v>
      </c>
      <c r="AJ129" s="69">
        <f t="shared" si="222"/>
        <v>0</v>
      </c>
      <c r="AK129" s="59">
        <f t="shared" si="223"/>
        <v>0</v>
      </c>
      <c r="AL129" s="58">
        <f t="shared" si="217"/>
        <v>0</v>
      </c>
      <c r="AM129" s="69">
        <f t="shared" si="134"/>
        <v>22810</v>
      </c>
    </row>
    <row r="130" spans="1:40" s="70" customFormat="1" ht="15" customHeight="1" x14ac:dyDescent="0.25">
      <c r="A130" s="83">
        <v>43405</v>
      </c>
      <c r="B130" s="84">
        <v>1</v>
      </c>
      <c r="C130" s="85">
        <f t="shared" si="127"/>
        <v>22810</v>
      </c>
      <c r="D130" s="86">
        <f t="shared" si="174"/>
        <v>22810</v>
      </c>
      <c r="E130" s="86">
        <f t="shared" si="175"/>
        <v>3421.5</v>
      </c>
      <c r="F130" s="86">
        <f t="shared" si="200"/>
        <v>300</v>
      </c>
      <c r="G130" s="86"/>
      <c r="H130" s="86">
        <f t="shared" si="128"/>
        <v>49341.5</v>
      </c>
      <c r="I130" s="87">
        <f t="shared" si="176"/>
        <v>200</v>
      </c>
      <c r="J130" s="86"/>
      <c r="K130" s="86"/>
      <c r="L130" s="88">
        <f t="shared" si="116"/>
        <v>49141.5</v>
      </c>
      <c r="M130" s="88"/>
      <c r="N130" s="88">
        <f t="shared" si="129"/>
        <v>10949</v>
      </c>
      <c r="O130" s="85"/>
      <c r="P130" s="83">
        <v>43405</v>
      </c>
      <c r="Q130" s="84">
        <f>Q129</f>
        <v>1.48</v>
      </c>
      <c r="R130" s="86">
        <f t="shared" si="177"/>
        <v>22810</v>
      </c>
      <c r="S130" s="87">
        <f t="shared" si="178"/>
        <v>33759</v>
      </c>
      <c r="T130" s="86">
        <f t="shared" si="162"/>
        <v>3422</v>
      </c>
      <c r="U130" s="86">
        <f t="shared" si="151"/>
        <v>300</v>
      </c>
      <c r="V130" s="86"/>
      <c r="W130" s="86">
        <f t="shared" si="188"/>
        <v>60291</v>
      </c>
      <c r="X130" s="87">
        <f t="shared" si="179"/>
        <v>200</v>
      </c>
      <c r="Y130" s="86"/>
      <c r="Z130" s="86"/>
      <c r="AA130" s="88">
        <f t="shared" si="180"/>
        <v>60091</v>
      </c>
      <c r="AB130" s="67"/>
      <c r="AC130" s="68" t="str">
        <f t="shared" si="181"/>
        <v>Nov-2018</v>
      </c>
      <c r="AD130" s="59">
        <f t="shared" si="220"/>
        <v>22140</v>
      </c>
      <c r="AE130" s="75">
        <f>IF(Arrear!$C$7="Y",AG130,IF(Arrear!$C$6="Y",AF130,0))</f>
        <v>22810</v>
      </c>
      <c r="AF130" s="58">
        <f t="shared" si="183"/>
        <v>22810</v>
      </c>
      <c r="AG130" s="58">
        <f t="shared" si="184"/>
        <v>22810</v>
      </c>
      <c r="AH130" s="58">
        <f t="shared" si="185"/>
        <v>23500</v>
      </c>
      <c r="AI130" s="58">
        <f t="shared" ref="AI130" si="226">AH130+IF(MOD(AH130*0.03,10)&gt;=1,AH130*0.03-MOD(AH130*0.03,10)+10,AH130*0.03-MOD(AH130*0.03,10))</f>
        <v>24210</v>
      </c>
      <c r="AJ130" s="69">
        <f t="shared" si="222"/>
        <v>0</v>
      </c>
      <c r="AK130" s="59">
        <f t="shared" si="223"/>
        <v>0</v>
      </c>
      <c r="AL130" s="58">
        <f t="shared" si="217"/>
        <v>0</v>
      </c>
      <c r="AM130" s="69">
        <f t="shared" si="134"/>
        <v>22810</v>
      </c>
    </row>
    <row r="131" spans="1:40" s="70" customFormat="1" ht="15" customHeight="1" x14ac:dyDescent="0.25">
      <c r="A131" s="83">
        <v>43435</v>
      </c>
      <c r="B131" s="84">
        <v>1</v>
      </c>
      <c r="C131" s="85">
        <f t="shared" si="127"/>
        <v>22810</v>
      </c>
      <c r="D131" s="86">
        <f t="shared" ref="D131:D143" si="227">ROUND(C131*B131,0)</f>
        <v>22810</v>
      </c>
      <c r="E131" s="86">
        <f t="shared" ref="E131:E143" si="228">C131*0.15</f>
        <v>3421.5</v>
      </c>
      <c r="F131" s="86">
        <f t="shared" si="200"/>
        <v>300</v>
      </c>
      <c r="G131" s="86"/>
      <c r="H131" s="86">
        <f t="shared" si="128"/>
        <v>49341.5</v>
      </c>
      <c r="I131" s="87">
        <f t="shared" ref="I131:I143" si="229">IF(H131&gt;40000,200,IF(H131&gt;25000,150,IF(H131&gt;15000,130,IF(H131&gt;9000,110,IF(H131&gt;8000,90,IF(H131&gt;7000,50,IF(H131&gt;6000,45,IF(H131&gt;5000,40,0))))))))</f>
        <v>200</v>
      </c>
      <c r="J131" s="86"/>
      <c r="K131" s="86"/>
      <c r="L131" s="88">
        <f t="shared" ref="L131:L143" si="230">(H131-(I131+J131+K131))</f>
        <v>49141.5</v>
      </c>
      <c r="M131" s="88"/>
      <c r="N131" s="88">
        <f t="shared" si="129"/>
        <v>10949</v>
      </c>
      <c r="O131" s="85"/>
      <c r="P131" s="83">
        <v>43435</v>
      </c>
      <c r="Q131" s="84">
        <f>Q130</f>
        <v>1.48</v>
      </c>
      <c r="R131" s="86">
        <f t="shared" ref="R131:R143" si="231">C131</f>
        <v>22810</v>
      </c>
      <c r="S131" s="87">
        <f t="shared" ref="S131:S143" si="232">ROUND(R131*Q131,0)</f>
        <v>33759</v>
      </c>
      <c r="T131" s="86">
        <f t="shared" si="162"/>
        <v>3422</v>
      </c>
      <c r="U131" s="86">
        <f t="shared" si="151"/>
        <v>300</v>
      </c>
      <c r="V131" s="86"/>
      <c r="W131" s="86">
        <f t="shared" si="188"/>
        <v>60291</v>
      </c>
      <c r="X131" s="87">
        <f t="shared" ref="X131:X143" si="233">IF(W131&gt;40000,200,IF(W131&gt;25000,150,IF(W131&gt;15000,130,IF(W131&gt;9000,110,IF(W131&gt;8000,90,IF(W131&gt;7000,50,IF(W131&gt;6000,45,IF(W131&gt;5000,40,0))))))))</f>
        <v>200</v>
      </c>
      <c r="Y131" s="86"/>
      <c r="Z131" s="86"/>
      <c r="AA131" s="88">
        <f t="shared" ref="AA131:AA143" si="234">(W131-SUM(X131:Z131))</f>
        <v>60091</v>
      </c>
      <c r="AB131" s="67"/>
      <c r="AC131" s="68" t="str">
        <f t="shared" ref="AC131:AC143" si="235">TEXT(A131,"mmm-yyy")</f>
        <v>Dec-2018</v>
      </c>
      <c r="AD131" s="59">
        <f t="shared" si="220"/>
        <v>22140</v>
      </c>
      <c r="AE131" s="75">
        <f>IF(Arrear!$C$7="Y",AG131,IF(Arrear!$C$6="Y",AF131,0))</f>
        <v>22810</v>
      </c>
      <c r="AF131" s="58">
        <f t="shared" si="183"/>
        <v>22810</v>
      </c>
      <c r="AG131" s="58">
        <f t="shared" si="184"/>
        <v>22810</v>
      </c>
      <c r="AH131" s="58">
        <f t="shared" si="185"/>
        <v>23500</v>
      </c>
      <c r="AI131" s="58">
        <f t="shared" ref="AI131" si="236">AH131+IF(MOD(AH131*0.03,10)&gt;=1,AH131*0.03-MOD(AH131*0.03,10)+10,AH131*0.03-MOD(AH131*0.03,10))</f>
        <v>24210</v>
      </c>
      <c r="AJ131" s="69">
        <f t="shared" si="222"/>
        <v>0</v>
      </c>
      <c r="AK131" s="59">
        <f t="shared" si="223"/>
        <v>0</v>
      </c>
      <c r="AL131" s="58">
        <f t="shared" si="217"/>
        <v>0</v>
      </c>
      <c r="AM131" s="69">
        <f t="shared" si="134"/>
        <v>22810</v>
      </c>
    </row>
    <row r="132" spans="1:40" s="70" customFormat="1" ht="15" customHeight="1" x14ac:dyDescent="0.25">
      <c r="A132" s="83">
        <v>43466</v>
      </c>
      <c r="B132" s="84">
        <v>1.25</v>
      </c>
      <c r="C132" s="85">
        <f t="shared" ref="C132:C143" si="237">AM132</f>
        <v>22810</v>
      </c>
      <c r="D132" s="86">
        <f t="shared" si="227"/>
        <v>28513</v>
      </c>
      <c r="E132" s="86">
        <f t="shared" si="228"/>
        <v>3421.5</v>
      </c>
      <c r="F132" s="86">
        <f t="shared" si="200"/>
        <v>300</v>
      </c>
      <c r="G132" s="86"/>
      <c r="H132" s="86">
        <f t="shared" ref="H132:H143" si="238">SUM(C132:F132)</f>
        <v>55044.5</v>
      </c>
      <c r="I132" s="87">
        <f t="shared" si="229"/>
        <v>200</v>
      </c>
      <c r="J132" s="86"/>
      <c r="K132" s="86"/>
      <c r="L132" s="88">
        <f t="shared" si="230"/>
        <v>54844.5</v>
      </c>
      <c r="M132" s="88"/>
      <c r="N132" s="88">
        <f t="shared" ref="N132:N143" si="239">S132-D132</f>
        <v>6614</v>
      </c>
      <c r="O132" s="85"/>
      <c r="P132" s="83">
        <v>43466</v>
      </c>
      <c r="Q132" s="84">
        <v>1.54</v>
      </c>
      <c r="R132" s="86">
        <f t="shared" si="231"/>
        <v>22810</v>
      </c>
      <c r="S132" s="87">
        <f t="shared" si="232"/>
        <v>35127</v>
      </c>
      <c r="T132" s="86">
        <f t="shared" si="162"/>
        <v>3422</v>
      </c>
      <c r="U132" s="86">
        <f t="shared" si="151"/>
        <v>300</v>
      </c>
      <c r="V132" s="86"/>
      <c r="W132" s="86">
        <f t="shared" si="188"/>
        <v>61659</v>
      </c>
      <c r="X132" s="87">
        <f t="shared" si="233"/>
        <v>200</v>
      </c>
      <c r="Y132" s="86"/>
      <c r="Z132" s="88"/>
      <c r="AA132" s="88">
        <f t="shared" si="234"/>
        <v>61459</v>
      </c>
      <c r="AB132" s="67"/>
      <c r="AC132" s="68" t="str">
        <f t="shared" si="235"/>
        <v>Jan-2019</v>
      </c>
      <c r="AD132" s="59">
        <f t="shared" si="220"/>
        <v>22140</v>
      </c>
      <c r="AE132" s="75">
        <f>IF(Arrear!$C$7="Y",AG132,IF(Arrear!$C$6="Y",AF132,0))</f>
        <v>22810</v>
      </c>
      <c r="AF132" s="58">
        <f t="shared" ref="AF132:AF143" si="240">IF(TEXT(A132,"mmm-yyy")=$O$19,$O$18,IF(EOMONTH($O$15,0)+1=A132,$O$17,IF(TEXT(A132,"mmm")&lt;&gt;"Jul",AF131,IF(TEXT(A132,"mmm")="Jul",AH131,AF131))))</f>
        <v>22810</v>
      </c>
      <c r="AG132" s="58">
        <f t="shared" ref="AG132:AG143" si="241">IF(TEXT(A132,"mmm-yyy")=$O$35,$O$34,IF(EOMONTH($O$31,0)+1=A132,$O$33,IF(TEXT(A132,"mmm")&lt;&gt;"Jul",AG131,IF(TEXT(A132,"mmm")="Jul",AH131,AG131))))</f>
        <v>22810</v>
      </c>
      <c r="AH132" s="58">
        <f t="shared" ref="AH132:AH143" si="242">AF132+IF(MOD(AF132*0.03,10)&gt;=1,AF132*0.03-MOD(AF132*0.03,10)+10,AF132*0.03-MOD(AF132*0.03,10))</f>
        <v>23500</v>
      </c>
      <c r="AI132" s="58">
        <f t="shared" ref="AI132" si="243">AH132+IF(MOD(AH132*0.03,10)&gt;=1,AH132*0.03-MOD(AH132*0.03,10)+10,AH132*0.03-MOD(AH132*0.03,10))</f>
        <v>24210</v>
      </c>
      <c r="AJ132" s="69">
        <f t="shared" si="222"/>
        <v>0</v>
      </c>
      <c r="AK132" s="59">
        <f t="shared" si="223"/>
        <v>0</v>
      </c>
      <c r="AL132" s="58">
        <f t="shared" si="217"/>
        <v>0</v>
      </c>
      <c r="AM132" s="69">
        <f t="shared" ref="AM132:AM143" si="244">IF($AM$2="YY",AE132,IF($AM$2="YN",AF132,IF($AM$2="NY",AF132,AK132)))</f>
        <v>22810</v>
      </c>
    </row>
    <row r="133" spans="1:40" s="72" customFormat="1" ht="15" customHeight="1" x14ac:dyDescent="0.25">
      <c r="A133" s="83">
        <v>43497</v>
      </c>
      <c r="B133" s="84">
        <v>1.25</v>
      </c>
      <c r="C133" s="85">
        <f t="shared" si="237"/>
        <v>22810</v>
      </c>
      <c r="D133" s="86">
        <f t="shared" si="227"/>
        <v>28513</v>
      </c>
      <c r="E133" s="86">
        <f t="shared" si="228"/>
        <v>3421.5</v>
      </c>
      <c r="F133" s="86">
        <f t="shared" si="200"/>
        <v>300</v>
      </c>
      <c r="G133" s="86"/>
      <c r="H133" s="86">
        <f t="shared" si="238"/>
        <v>55044.5</v>
      </c>
      <c r="I133" s="87">
        <f t="shared" si="229"/>
        <v>200</v>
      </c>
      <c r="J133" s="86"/>
      <c r="K133" s="86"/>
      <c r="L133" s="88">
        <f t="shared" si="230"/>
        <v>54844.5</v>
      </c>
      <c r="M133" s="88"/>
      <c r="N133" s="88">
        <f t="shared" si="239"/>
        <v>6614</v>
      </c>
      <c r="O133" s="85"/>
      <c r="P133" s="83">
        <v>43497</v>
      </c>
      <c r="Q133" s="84">
        <f>Q132</f>
        <v>1.54</v>
      </c>
      <c r="R133" s="86">
        <f t="shared" si="231"/>
        <v>22810</v>
      </c>
      <c r="S133" s="87">
        <f t="shared" si="232"/>
        <v>35127</v>
      </c>
      <c r="T133" s="86">
        <f t="shared" si="162"/>
        <v>3422</v>
      </c>
      <c r="U133" s="86">
        <f t="shared" si="151"/>
        <v>300</v>
      </c>
      <c r="V133" s="86"/>
      <c r="W133" s="87">
        <f t="shared" si="188"/>
        <v>61659</v>
      </c>
      <c r="X133" s="87">
        <f t="shared" si="233"/>
        <v>200</v>
      </c>
      <c r="Y133" s="86"/>
      <c r="Z133" s="88"/>
      <c r="AA133" s="88">
        <f t="shared" si="234"/>
        <v>61459</v>
      </c>
      <c r="AB133" s="67"/>
      <c r="AC133" s="68" t="str">
        <f t="shared" si="235"/>
        <v>Feb-2019</v>
      </c>
      <c r="AD133" s="62">
        <f t="shared" si="220"/>
        <v>22140</v>
      </c>
      <c r="AE133" s="75">
        <f>IF(Arrear!$C$7="Y",AG133,IF(Arrear!$C$6="Y",AF133,0))</f>
        <v>22810</v>
      </c>
      <c r="AF133" s="58">
        <f t="shared" si="240"/>
        <v>22810</v>
      </c>
      <c r="AG133" s="58">
        <f t="shared" si="241"/>
        <v>22810</v>
      </c>
      <c r="AH133" s="58">
        <f t="shared" si="242"/>
        <v>23500</v>
      </c>
      <c r="AI133" s="58">
        <f t="shared" ref="AI133" si="245">AH133+IF(MOD(AH133*0.03,10)&gt;=1,AH133*0.03-MOD(AH133*0.03,10)+10,AH133*0.03-MOD(AH133*0.03,10))</f>
        <v>24210</v>
      </c>
      <c r="AJ133" s="69">
        <f t="shared" si="222"/>
        <v>0</v>
      </c>
      <c r="AK133" s="59">
        <f t="shared" si="223"/>
        <v>0</v>
      </c>
      <c r="AL133" s="58">
        <f t="shared" si="217"/>
        <v>0</v>
      </c>
      <c r="AM133" s="69">
        <f t="shared" si="244"/>
        <v>22810</v>
      </c>
    </row>
    <row r="134" spans="1:40" s="70" customFormat="1" ht="15" customHeight="1" x14ac:dyDescent="0.25">
      <c r="A134" s="83">
        <v>43525</v>
      </c>
      <c r="B134" s="84">
        <v>1.25</v>
      </c>
      <c r="C134" s="85">
        <f t="shared" si="237"/>
        <v>22810</v>
      </c>
      <c r="D134" s="86">
        <f t="shared" si="227"/>
        <v>28513</v>
      </c>
      <c r="E134" s="86">
        <f t="shared" si="228"/>
        <v>3421.5</v>
      </c>
      <c r="F134" s="86">
        <f t="shared" si="200"/>
        <v>300</v>
      </c>
      <c r="G134" s="86"/>
      <c r="H134" s="86">
        <f t="shared" si="238"/>
        <v>55044.5</v>
      </c>
      <c r="I134" s="87">
        <f t="shared" si="229"/>
        <v>200</v>
      </c>
      <c r="J134" s="86"/>
      <c r="K134" s="86"/>
      <c r="L134" s="88">
        <f t="shared" si="230"/>
        <v>54844.5</v>
      </c>
      <c r="M134" s="88"/>
      <c r="N134" s="88">
        <f t="shared" si="239"/>
        <v>6614</v>
      </c>
      <c r="O134" s="85"/>
      <c r="P134" s="83">
        <v>43525</v>
      </c>
      <c r="Q134" s="84">
        <f>Q133</f>
        <v>1.54</v>
      </c>
      <c r="R134" s="86">
        <f t="shared" si="231"/>
        <v>22810</v>
      </c>
      <c r="S134" s="87">
        <f t="shared" si="232"/>
        <v>35127</v>
      </c>
      <c r="T134" s="86">
        <f t="shared" si="162"/>
        <v>3422</v>
      </c>
      <c r="U134" s="86">
        <f t="shared" si="151"/>
        <v>300</v>
      </c>
      <c r="V134" s="86"/>
      <c r="W134" s="86">
        <f t="shared" ref="W134:W143" si="246">SUM(R134:U134)</f>
        <v>61659</v>
      </c>
      <c r="X134" s="87">
        <f t="shared" si="233"/>
        <v>200</v>
      </c>
      <c r="Y134" s="86"/>
      <c r="Z134" s="88"/>
      <c r="AA134" s="88">
        <f t="shared" si="234"/>
        <v>61459</v>
      </c>
      <c r="AB134" s="67"/>
      <c r="AC134" s="68" t="str">
        <f t="shared" si="235"/>
        <v>Mar-2019</v>
      </c>
      <c r="AD134" s="59">
        <f t="shared" si="220"/>
        <v>22140</v>
      </c>
      <c r="AE134" s="75">
        <f>IF(Arrear!$C$7="Y",AG134,IF(Arrear!$C$6="Y",AF134,0))</f>
        <v>22810</v>
      </c>
      <c r="AF134" s="58">
        <f t="shared" si="240"/>
        <v>22810</v>
      </c>
      <c r="AG134" s="58">
        <f t="shared" si="241"/>
        <v>22810</v>
      </c>
      <c r="AH134" s="58">
        <f t="shared" si="242"/>
        <v>23500</v>
      </c>
      <c r="AI134" s="58">
        <f t="shared" ref="AI134" si="247">AH134+IF(MOD(AH134*0.03,10)&gt;=1,AH134*0.03-MOD(AH134*0.03,10)+10,AH134*0.03-MOD(AH134*0.03,10))</f>
        <v>24210</v>
      </c>
      <c r="AJ134" s="69">
        <f t="shared" si="222"/>
        <v>0</v>
      </c>
      <c r="AK134" s="59">
        <f t="shared" si="223"/>
        <v>0</v>
      </c>
      <c r="AL134" s="58">
        <f t="shared" si="217"/>
        <v>0</v>
      </c>
      <c r="AM134" s="69">
        <f t="shared" si="244"/>
        <v>22810</v>
      </c>
    </row>
    <row r="135" spans="1:40" s="70" customFormat="1" ht="15" customHeight="1" x14ac:dyDescent="0.25">
      <c r="A135" s="83">
        <v>43556</v>
      </c>
      <c r="B135" s="84">
        <v>1.25</v>
      </c>
      <c r="C135" s="85">
        <f t="shared" si="237"/>
        <v>22810</v>
      </c>
      <c r="D135" s="86">
        <f t="shared" si="227"/>
        <v>28513</v>
      </c>
      <c r="E135" s="86">
        <f t="shared" si="228"/>
        <v>3421.5</v>
      </c>
      <c r="F135" s="86">
        <f t="shared" si="200"/>
        <v>300</v>
      </c>
      <c r="G135" s="86"/>
      <c r="H135" s="86">
        <f t="shared" si="238"/>
        <v>55044.5</v>
      </c>
      <c r="I135" s="87">
        <f t="shared" si="229"/>
        <v>200</v>
      </c>
      <c r="J135" s="86"/>
      <c r="K135" s="86"/>
      <c r="L135" s="88">
        <f t="shared" si="230"/>
        <v>54844.5</v>
      </c>
      <c r="M135" s="88"/>
      <c r="N135" s="88">
        <f t="shared" si="239"/>
        <v>6614</v>
      </c>
      <c r="O135" s="85"/>
      <c r="P135" s="83">
        <v>43556</v>
      </c>
      <c r="Q135" s="84">
        <f>Q134</f>
        <v>1.54</v>
      </c>
      <c r="R135" s="86">
        <f t="shared" si="231"/>
        <v>22810</v>
      </c>
      <c r="S135" s="87">
        <f t="shared" si="232"/>
        <v>35127</v>
      </c>
      <c r="T135" s="86">
        <f t="shared" si="162"/>
        <v>3422</v>
      </c>
      <c r="U135" s="86">
        <f t="shared" si="151"/>
        <v>300</v>
      </c>
      <c r="V135" s="86"/>
      <c r="W135" s="86">
        <f t="shared" si="246"/>
        <v>61659</v>
      </c>
      <c r="X135" s="87">
        <f t="shared" si="233"/>
        <v>200</v>
      </c>
      <c r="Y135" s="86"/>
      <c r="Z135" s="88"/>
      <c r="AA135" s="88">
        <f t="shared" si="234"/>
        <v>61459</v>
      </c>
      <c r="AB135" s="67"/>
      <c r="AC135" s="68" t="str">
        <f t="shared" si="235"/>
        <v>Apr-2019</v>
      </c>
      <c r="AD135" s="59">
        <f t="shared" si="220"/>
        <v>22140</v>
      </c>
      <c r="AE135" s="75">
        <f>IF(Arrear!$C$7="Y",AG135,IF(Arrear!$C$6="Y",AF135,0))</f>
        <v>22810</v>
      </c>
      <c r="AF135" s="58">
        <f t="shared" si="240"/>
        <v>22810</v>
      </c>
      <c r="AG135" s="58">
        <f t="shared" si="241"/>
        <v>22810</v>
      </c>
      <c r="AH135" s="58">
        <f t="shared" si="242"/>
        <v>23500</v>
      </c>
      <c r="AI135" s="58">
        <f t="shared" ref="AI135" si="248">AH135+IF(MOD(AH135*0.03,10)&gt;=1,AH135*0.03-MOD(AH135*0.03,10)+10,AH135*0.03-MOD(AH135*0.03,10))</f>
        <v>24210</v>
      </c>
      <c r="AJ135" s="69">
        <f t="shared" si="222"/>
        <v>0</v>
      </c>
      <c r="AK135" s="59">
        <f t="shared" si="223"/>
        <v>0</v>
      </c>
      <c r="AL135" s="58">
        <f t="shared" si="217"/>
        <v>0</v>
      </c>
      <c r="AM135" s="69">
        <f t="shared" si="244"/>
        <v>22810</v>
      </c>
    </row>
    <row r="136" spans="1:40" s="70" customFormat="1" ht="15" customHeight="1" x14ac:dyDescent="0.25">
      <c r="A136" s="83">
        <v>43586</v>
      </c>
      <c r="B136" s="84">
        <v>1.25</v>
      </c>
      <c r="C136" s="85">
        <f t="shared" si="237"/>
        <v>22810</v>
      </c>
      <c r="D136" s="86">
        <f t="shared" si="227"/>
        <v>28513</v>
      </c>
      <c r="E136" s="86">
        <f t="shared" si="228"/>
        <v>3421.5</v>
      </c>
      <c r="F136" s="86">
        <f t="shared" si="200"/>
        <v>300</v>
      </c>
      <c r="G136" s="86"/>
      <c r="H136" s="86">
        <f t="shared" si="238"/>
        <v>55044.5</v>
      </c>
      <c r="I136" s="87">
        <f t="shared" si="229"/>
        <v>200</v>
      </c>
      <c r="J136" s="86"/>
      <c r="K136" s="86"/>
      <c r="L136" s="88">
        <f t="shared" si="230"/>
        <v>54844.5</v>
      </c>
      <c r="M136" s="88"/>
      <c r="N136" s="88">
        <f t="shared" si="239"/>
        <v>6614</v>
      </c>
      <c r="O136" s="85"/>
      <c r="P136" s="83">
        <v>43586</v>
      </c>
      <c r="Q136" s="84">
        <f>Q135</f>
        <v>1.54</v>
      </c>
      <c r="R136" s="86">
        <f t="shared" si="231"/>
        <v>22810</v>
      </c>
      <c r="S136" s="87">
        <f t="shared" si="232"/>
        <v>35127</v>
      </c>
      <c r="T136" s="86">
        <f t="shared" si="162"/>
        <v>3422</v>
      </c>
      <c r="U136" s="86">
        <f t="shared" si="151"/>
        <v>300</v>
      </c>
      <c r="V136" s="86"/>
      <c r="W136" s="86">
        <f t="shared" si="246"/>
        <v>61659</v>
      </c>
      <c r="X136" s="87">
        <f t="shared" si="233"/>
        <v>200</v>
      </c>
      <c r="Y136" s="86"/>
      <c r="Z136" s="88"/>
      <c r="AA136" s="88">
        <f t="shared" si="234"/>
        <v>61459</v>
      </c>
      <c r="AB136" s="67"/>
      <c r="AC136" s="68" t="str">
        <f t="shared" si="235"/>
        <v>May-2019</v>
      </c>
      <c r="AD136" s="59">
        <f t="shared" si="220"/>
        <v>22140</v>
      </c>
      <c r="AE136" s="75">
        <f>IF(Arrear!$C$7="Y",AG136,IF(Arrear!$C$6="Y",AF136,0))</f>
        <v>22810</v>
      </c>
      <c r="AF136" s="58">
        <f t="shared" si="240"/>
        <v>22810</v>
      </c>
      <c r="AG136" s="58">
        <f t="shared" si="241"/>
        <v>22810</v>
      </c>
      <c r="AH136" s="58">
        <f t="shared" si="242"/>
        <v>23500</v>
      </c>
      <c r="AI136" s="58">
        <f t="shared" ref="AI136" si="249">AH136+IF(MOD(AH136*0.03,10)&gt;=1,AH136*0.03-MOD(AH136*0.03,10)+10,AH136*0.03-MOD(AH136*0.03,10))</f>
        <v>24210</v>
      </c>
      <c r="AJ136" s="69">
        <f t="shared" si="222"/>
        <v>0</v>
      </c>
      <c r="AK136" s="59">
        <f t="shared" si="223"/>
        <v>0</v>
      </c>
      <c r="AL136" s="58">
        <f t="shared" si="217"/>
        <v>0</v>
      </c>
      <c r="AM136" s="69">
        <f t="shared" si="244"/>
        <v>22810</v>
      </c>
    </row>
    <row r="137" spans="1:40" s="70" customFormat="1" ht="15" customHeight="1" x14ac:dyDescent="0.25">
      <c r="A137" s="83">
        <v>43617</v>
      </c>
      <c r="B137" s="84">
        <v>1.25</v>
      </c>
      <c r="C137" s="85">
        <f t="shared" si="237"/>
        <v>22810</v>
      </c>
      <c r="D137" s="86">
        <f t="shared" si="227"/>
        <v>28513</v>
      </c>
      <c r="E137" s="86">
        <f t="shared" si="228"/>
        <v>3421.5</v>
      </c>
      <c r="F137" s="86">
        <f t="shared" si="200"/>
        <v>300</v>
      </c>
      <c r="G137" s="86"/>
      <c r="H137" s="86">
        <f t="shared" si="238"/>
        <v>55044.5</v>
      </c>
      <c r="I137" s="87">
        <f t="shared" si="229"/>
        <v>200</v>
      </c>
      <c r="J137" s="86"/>
      <c r="K137" s="86"/>
      <c r="L137" s="88">
        <f t="shared" si="230"/>
        <v>54844.5</v>
      </c>
      <c r="M137" s="88"/>
      <c r="N137" s="88">
        <f t="shared" si="239"/>
        <v>6614</v>
      </c>
      <c r="O137" s="85"/>
      <c r="P137" s="83">
        <v>43617</v>
      </c>
      <c r="Q137" s="84">
        <f>Q136</f>
        <v>1.54</v>
      </c>
      <c r="R137" s="86">
        <f t="shared" si="231"/>
        <v>22810</v>
      </c>
      <c r="S137" s="87">
        <f t="shared" si="232"/>
        <v>35127</v>
      </c>
      <c r="T137" s="86">
        <f t="shared" si="162"/>
        <v>3422</v>
      </c>
      <c r="U137" s="86">
        <f t="shared" si="151"/>
        <v>300</v>
      </c>
      <c r="V137" s="86"/>
      <c r="W137" s="86">
        <f t="shared" si="246"/>
        <v>61659</v>
      </c>
      <c r="X137" s="87">
        <f t="shared" si="233"/>
        <v>200</v>
      </c>
      <c r="Y137" s="86"/>
      <c r="Z137" s="88"/>
      <c r="AA137" s="88">
        <f t="shared" si="234"/>
        <v>61459</v>
      </c>
      <c r="AB137" s="67"/>
      <c r="AC137" s="68" t="str">
        <f t="shared" si="235"/>
        <v>Jun-2019</v>
      </c>
      <c r="AD137" s="59">
        <f t="shared" si="220"/>
        <v>22140</v>
      </c>
      <c r="AE137" s="75">
        <f>IF(Arrear!$C$7="Y",AG137,IF(Arrear!$C$6="Y",AF137,0))</f>
        <v>22810</v>
      </c>
      <c r="AF137" s="58">
        <f t="shared" si="240"/>
        <v>22810</v>
      </c>
      <c r="AG137" s="58">
        <f t="shared" si="241"/>
        <v>22810</v>
      </c>
      <c r="AH137" s="58">
        <f t="shared" si="242"/>
        <v>23500</v>
      </c>
      <c r="AI137" s="58">
        <f t="shared" ref="AI137" si="250">AH137+IF(MOD(AH137*0.03,10)&gt;=1,AH137*0.03-MOD(AH137*0.03,10)+10,AH137*0.03-MOD(AH137*0.03,10))</f>
        <v>24210</v>
      </c>
      <c r="AJ137" s="69">
        <f t="shared" si="222"/>
        <v>0</v>
      </c>
      <c r="AK137" s="59">
        <f t="shared" si="223"/>
        <v>0</v>
      </c>
      <c r="AL137" s="58">
        <f t="shared" si="217"/>
        <v>0</v>
      </c>
      <c r="AM137" s="69">
        <f t="shared" si="244"/>
        <v>22810</v>
      </c>
    </row>
    <row r="138" spans="1:40" s="70" customFormat="1" ht="15" customHeight="1" x14ac:dyDescent="0.25">
      <c r="A138" s="83">
        <v>43647</v>
      </c>
      <c r="B138" s="84">
        <v>1.25</v>
      </c>
      <c r="C138" s="85">
        <f t="shared" si="237"/>
        <v>23500</v>
      </c>
      <c r="D138" s="86">
        <f t="shared" si="227"/>
        <v>29375</v>
      </c>
      <c r="E138" s="86">
        <f t="shared" si="228"/>
        <v>3525</v>
      </c>
      <c r="F138" s="86">
        <f t="shared" si="200"/>
        <v>300</v>
      </c>
      <c r="G138" s="86"/>
      <c r="H138" s="86">
        <f t="shared" si="238"/>
        <v>56700</v>
      </c>
      <c r="I138" s="87">
        <f t="shared" si="229"/>
        <v>200</v>
      </c>
      <c r="J138" s="86"/>
      <c r="K138" s="86"/>
      <c r="L138" s="88">
        <f t="shared" si="230"/>
        <v>56500</v>
      </c>
      <c r="M138" s="88"/>
      <c r="N138" s="88">
        <f t="shared" si="239"/>
        <v>9165</v>
      </c>
      <c r="O138" s="85"/>
      <c r="P138" s="83">
        <v>43647</v>
      </c>
      <c r="Q138" s="84">
        <v>1.64</v>
      </c>
      <c r="R138" s="86">
        <f t="shared" si="231"/>
        <v>23500</v>
      </c>
      <c r="S138" s="87">
        <f t="shared" si="232"/>
        <v>38540</v>
      </c>
      <c r="T138" s="86">
        <f t="shared" si="162"/>
        <v>3525</v>
      </c>
      <c r="U138" s="86">
        <f t="shared" si="151"/>
        <v>300</v>
      </c>
      <c r="V138" s="86"/>
      <c r="W138" s="86">
        <f t="shared" si="246"/>
        <v>65865</v>
      </c>
      <c r="X138" s="87">
        <f t="shared" si="233"/>
        <v>200</v>
      </c>
      <c r="Y138" s="86"/>
      <c r="Z138" s="88"/>
      <c r="AA138" s="88">
        <f t="shared" si="234"/>
        <v>65665</v>
      </c>
      <c r="AB138" s="67"/>
      <c r="AC138" s="68" t="str">
        <f t="shared" si="235"/>
        <v>Jul-2019</v>
      </c>
      <c r="AD138" s="59">
        <f>AD126+IF(MOD(AD126*0.03,10)&gt;=1,AD126*0.03-MOD(AD126*0.03,10)+10,AD126*0.03-MOD(AD126*0.03,10))</f>
        <v>22810</v>
      </c>
      <c r="AE138" s="75">
        <f>IF(Arrear!$C$7="Y",AG138,IF(Arrear!$C$6="Y",AF138,0))</f>
        <v>23500</v>
      </c>
      <c r="AF138" s="58">
        <f t="shared" si="240"/>
        <v>23500</v>
      </c>
      <c r="AG138" s="58">
        <f t="shared" si="241"/>
        <v>23500</v>
      </c>
      <c r="AH138" s="58">
        <f t="shared" si="242"/>
        <v>24210</v>
      </c>
      <c r="AI138" s="58">
        <f t="shared" ref="AI138" si="251">AH138+IF(MOD(AH138*0.03,10)&gt;=1,AH138*0.03-MOD(AH138*0.03,10)+10,AH138*0.03-MOD(AH138*0.03,10))</f>
        <v>24940</v>
      </c>
      <c r="AJ138" s="69">
        <f>IF(TEXT($O$7,"mmm-yyy")=AC138,$M$2,AJ137+IF(MOD(AJ137*0.03,10)&gt;=1,AJ137*0.03-MOD(AJ137*0.03,10)+10,AJ137*0.03-MOD(AJ137*0.03,10)))</f>
        <v>0</v>
      </c>
      <c r="AK138" s="59">
        <f>IF(TEXT($O$7,"mmm-yyy")=AC138,(AJ138-(ROUND(AJ138/(DAY(EOMONTH(A138,0)))*(DAY($O$7)-1),0))),IF(AC137=TEXT($O$7,"mmm-yyy"),AJ138,IF(AK137=0,AJ138,IF(AND(TEXT(A138,"mmm")="Jul",TEXT(A138,"yyy")=TEXT(Arrear!$B$2,"yyy")),AK137,AL137))))</f>
        <v>0</v>
      </c>
      <c r="AL138" s="58">
        <f t="shared" si="217"/>
        <v>0</v>
      </c>
      <c r="AM138" s="69">
        <f t="shared" si="244"/>
        <v>23500</v>
      </c>
      <c r="AN138" s="74"/>
    </row>
    <row r="139" spans="1:40" s="70" customFormat="1" ht="15" customHeight="1" x14ac:dyDescent="0.25">
      <c r="A139" s="83">
        <v>43678</v>
      </c>
      <c r="B139" s="84">
        <v>1.25</v>
      </c>
      <c r="C139" s="85">
        <f t="shared" si="237"/>
        <v>23500</v>
      </c>
      <c r="D139" s="86">
        <f t="shared" si="227"/>
        <v>29375</v>
      </c>
      <c r="E139" s="86">
        <f t="shared" si="228"/>
        <v>3525</v>
      </c>
      <c r="F139" s="86">
        <f t="shared" si="200"/>
        <v>300</v>
      </c>
      <c r="G139" s="86"/>
      <c r="H139" s="86">
        <f t="shared" si="238"/>
        <v>56700</v>
      </c>
      <c r="I139" s="87">
        <f t="shared" si="229"/>
        <v>200</v>
      </c>
      <c r="J139" s="86"/>
      <c r="K139" s="86"/>
      <c r="L139" s="88">
        <f t="shared" si="230"/>
        <v>56500</v>
      </c>
      <c r="M139" s="88"/>
      <c r="N139" s="88">
        <f t="shared" si="239"/>
        <v>9165</v>
      </c>
      <c r="O139" s="85"/>
      <c r="P139" s="83">
        <v>43678</v>
      </c>
      <c r="Q139" s="84">
        <f>Q138</f>
        <v>1.64</v>
      </c>
      <c r="R139" s="86">
        <f t="shared" si="231"/>
        <v>23500</v>
      </c>
      <c r="S139" s="87">
        <f t="shared" si="232"/>
        <v>38540</v>
      </c>
      <c r="T139" s="86">
        <f t="shared" si="162"/>
        <v>3525</v>
      </c>
      <c r="U139" s="86">
        <f t="shared" si="151"/>
        <v>300</v>
      </c>
      <c r="V139" s="86"/>
      <c r="W139" s="86">
        <f t="shared" si="246"/>
        <v>65865</v>
      </c>
      <c r="X139" s="87">
        <f t="shared" si="233"/>
        <v>200</v>
      </c>
      <c r="Y139" s="86"/>
      <c r="Z139" s="88"/>
      <c r="AA139" s="88">
        <f t="shared" si="234"/>
        <v>65665</v>
      </c>
      <c r="AB139" s="67"/>
      <c r="AC139" s="68" t="str">
        <f t="shared" si="235"/>
        <v>Aug-2019</v>
      </c>
      <c r="AD139" s="59">
        <f>AD138</f>
        <v>22810</v>
      </c>
      <c r="AE139" s="75">
        <f>IF(Arrear!$C$7="Y",AG139,IF(Arrear!$C$6="Y",AF139,0))</f>
        <v>23500</v>
      </c>
      <c r="AF139" s="58">
        <f t="shared" si="240"/>
        <v>23500</v>
      </c>
      <c r="AG139" s="58">
        <f t="shared" si="241"/>
        <v>23500</v>
      </c>
      <c r="AH139" s="58">
        <f t="shared" si="242"/>
        <v>24210</v>
      </c>
      <c r="AI139" s="58">
        <f t="shared" ref="AI139" si="252">AH139+IF(MOD(AH139*0.03,10)&gt;=1,AH139*0.03-MOD(AH139*0.03,10)+10,AH139*0.03-MOD(AH139*0.03,10))</f>
        <v>24940</v>
      </c>
      <c r="AJ139" s="69">
        <f>IF(TEXT($O$7,"mmm-yyy")=AC139,$M$2,AJ138)</f>
        <v>0</v>
      </c>
      <c r="AK139" s="59">
        <f t="shared" ref="AK139:AK143" si="253">IF(TEXT($O$7,"mmm-yyy")=AC139,(AJ139-(ROUND(AJ139/(DAY(EOMONTH(A139,0)))*(DAY($O$7)-1),0))),IF(AC138=TEXT($O$7,"mmm-yyy"),AJ139,IF(AK138=0,AJ139,IF(TEXT(A139,"mmm")="Jul",AL138,AK138))))</f>
        <v>0</v>
      </c>
      <c r="AL139" s="58">
        <f t="shared" si="217"/>
        <v>0</v>
      </c>
      <c r="AM139" s="69">
        <f t="shared" si="244"/>
        <v>23500</v>
      </c>
    </row>
    <row r="140" spans="1:40" s="70" customFormat="1" ht="15" customHeight="1" x14ac:dyDescent="0.25">
      <c r="A140" s="83">
        <v>43709</v>
      </c>
      <c r="B140" s="84">
        <v>1.25</v>
      </c>
      <c r="C140" s="85">
        <f t="shared" si="237"/>
        <v>23500</v>
      </c>
      <c r="D140" s="86">
        <f t="shared" si="227"/>
        <v>29375</v>
      </c>
      <c r="E140" s="86">
        <f t="shared" si="228"/>
        <v>3525</v>
      </c>
      <c r="F140" s="86">
        <f t="shared" si="200"/>
        <v>300</v>
      </c>
      <c r="G140" s="86"/>
      <c r="H140" s="86">
        <f t="shared" si="238"/>
        <v>56700</v>
      </c>
      <c r="I140" s="87">
        <f t="shared" si="229"/>
        <v>200</v>
      </c>
      <c r="J140" s="86"/>
      <c r="K140" s="86"/>
      <c r="L140" s="88">
        <f t="shared" si="230"/>
        <v>56500</v>
      </c>
      <c r="M140" s="88"/>
      <c r="N140" s="88">
        <f t="shared" si="239"/>
        <v>9165</v>
      </c>
      <c r="O140" s="85"/>
      <c r="P140" s="83">
        <v>43709</v>
      </c>
      <c r="Q140" s="84">
        <f>Q139</f>
        <v>1.64</v>
      </c>
      <c r="R140" s="86">
        <f t="shared" si="231"/>
        <v>23500</v>
      </c>
      <c r="S140" s="87">
        <f t="shared" si="232"/>
        <v>38540</v>
      </c>
      <c r="T140" s="86">
        <f t="shared" si="162"/>
        <v>3525</v>
      </c>
      <c r="U140" s="86">
        <f t="shared" si="151"/>
        <v>300</v>
      </c>
      <c r="V140" s="86"/>
      <c r="W140" s="86">
        <f t="shared" si="246"/>
        <v>65865</v>
      </c>
      <c r="X140" s="87">
        <f t="shared" si="233"/>
        <v>200</v>
      </c>
      <c r="Y140" s="86"/>
      <c r="Z140" s="88"/>
      <c r="AA140" s="88">
        <f t="shared" si="234"/>
        <v>65665</v>
      </c>
      <c r="AB140" s="67"/>
      <c r="AC140" s="68" t="str">
        <f t="shared" si="235"/>
        <v>Sep-2019</v>
      </c>
      <c r="AD140" s="59">
        <f>AD139</f>
        <v>22810</v>
      </c>
      <c r="AE140" s="75">
        <f>IF(Arrear!$C$7="Y",AG140,IF(Arrear!$C$6="Y",AF140,0))</f>
        <v>23500</v>
      </c>
      <c r="AF140" s="58">
        <f t="shared" si="240"/>
        <v>23500</v>
      </c>
      <c r="AG140" s="58">
        <f t="shared" si="241"/>
        <v>23500</v>
      </c>
      <c r="AH140" s="58">
        <f t="shared" si="242"/>
        <v>24210</v>
      </c>
      <c r="AI140" s="58">
        <f t="shared" ref="AI140" si="254">AH140+IF(MOD(AH140*0.03,10)&gt;=1,AH140*0.03-MOD(AH140*0.03,10)+10,AH140*0.03-MOD(AH140*0.03,10))</f>
        <v>24940</v>
      </c>
      <c r="AJ140" s="69">
        <f>IF(TEXT($O$7,"mmm-yyy")=AC140,$M$2,AJ139)</f>
        <v>0</v>
      </c>
      <c r="AK140" s="59">
        <f t="shared" si="253"/>
        <v>0</v>
      </c>
      <c r="AL140" s="58">
        <f t="shared" si="217"/>
        <v>0</v>
      </c>
      <c r="AM140" s="69">
        <f t="shared" si="244"/>
        <v>23500</v>
      </c>
    </row>
    <row r="141" spans="1:40" s="70" customFormat="1" ht="15" customHeight="1" x14ac:dyDescent="0.25">
      <c r="A141" s="83">
        <v>43739</v>
      </c>
      <c r="B141" s="84">
        <v>1.25</v>
      </c>
      <c r="C141" s="85">
        <f t="shared" si="237"/>
        <v>23500</v>
      </c>
      <c r="D141" s="86">
        <f t="shared" si="227"/>
        <v>29375</v>
      </c>
      <c r="E141" s="86">
        <f t="shared" si="228"/>
        <v>3525</v>
      </c>
      <c r="F141" s="86">
        <f t="shared" si="200"/>
        <v>300</v>
      </c>
      <c r="G141" s="86"/>
      <c r="H141" s="86">
        <f t="shared" si="238"/>
        <v>56700</v>
      </c>
      <c r="I141" s="87">
        <f t="shared" si="229"/>
        <v>200</v>
      </c>
      <c r="J141" s="86"/>
      <c r="K141" s="86"/>
      <c r="L141" s="88">
        <f t="shared" si="230"/>
        <v>56500</v>
      </c>
      <c r="M141" s="88"/>
      <c r="N141" s="88">
        <f t="shared" si="239"/>
        <v>9165</v>
      </c>
      <c r="O141" s="85"/>
      <c r="P141" s="83">
        <v>43739</v>
      </c>
      <c r="Q141" s="84">
        <f>Q140</f>
        <v>1.64</v>
      </c>
      <c r="R141" s="86">
        <f t="shared" si="231"/>
        <v>23500</v>
      </c>
      <c r="S141" s="87">
        <f t="shared" si="232"/>
        <v>38540</v>
      </c>
      <c r="T141" s="86">
        <f t="shared" si="162"/>
        <v>3525</v>
      </c>
      <c r="U141" s="86">
        <f t="shared" si="151"/>
        <v>300</v>
      </c>
      <c r="V141" s="86"/>
      <c r="W141" s="86">
        <f t="shared" si="246"/>
        <v>65865</v>
      </c>
      <c r="X141" s="87">
        <f t="shared" si="233"/>
        <v>200</v>
      </c>
      <c r="Y141" s="86"/>
      <c r="Z141" s="88"/>
      <c r="AA141" s="88">
        <f t="shared" si="234"/>
        <v>65665</v>
      </c>
      <c r="AB141" s="67"/>
      <c r="AC141" s="68" t="str">
        <f t="shared" si="235"/>
        <v>Oct-2019</v>
      </c>
      <c r="AD141" s="59">
        <f>AD140</f>
        <v>22810</v>
      </c>
      <c r="AE141" s="75">
        <f>IF(Arrear!$C$7="Y",AG141,IF(Arrear!$C$6="Y",AF141,0))</f>
        <v>23500</v>
      </c>
      <c r="AF141" s="58">
        <f t="shared" si="240"/>
        <v>23500</v>
      </c>
      <c r="AG141" s="58">
        <f t="shared" si="241"/>
        <v>23500</v>
      </c>
      <c r="AH141" s="58">
        <f t="shared" si="242"/>
        <v>24210</v>
      </c>
      <c r="AI141" s="58">
        <f t="shared" ref="AI141" si="255">AH141+IF(MOD(AH141*0.03,10)&gt;=1,AH141*0.03-MOD(AH141*0.03,10)+10,AH141*0.03-MOD(AH141*0.03,10))</f>
        <v>24940</v>
      </c>
      <c r="AJ141" s="69">
        <f>IF(TEXT($O$7,"mmm-yyy")=AC141,$M$2,AJ140)</f>
        <v>0</v>
      </c>
      <c r="AK141" s="59">
        <f t="shared" si="253"/>
        <v>0</v>
      </c>
      <c r="AL141" s="58">
        <f t="shared" si="217"/>
        <v>0</v>
      </c>
      <c r="AM141" s="69">
        <f t="shared" si="244"/>
        <v>23500</v>
      </c>
    </row>
    <row r="142" spans="1:40" s="70" customFormat="1" ht="15" customHeight="1" x14ac:dyDescent="0.25">
      <c r="A142" s="83">
        <v>43770</v>
      </c>
      <c r="B142" s="84">
        <v>1.25</v>
      </c>
      <c r="C142" s="85">
        <f t="shared" si="237"/>
        <v>23500</v>
      </c>
      <c r="D142" s="86">
        <f t="shared" si="227"/>
        <v>29375</v>
      </c>
      <c r="E142" s="86">
        <f t="shared" si="228"/>
        <v>3525</v>
      </c>
      <c r="F142" s="86">
        <f t="shared" si="200"/>
        <v>300</v>
      </c>
      <c r="G142" s="86"/>
      <c r="H142" s="86">
        <f t="shared" si="238"/>
        <v>56700</v>
      </c>
      <c r="I142" s="87">
        <f t="shared" si="229"/>
        <v>200</v>
      </c>
      <c r="J142" s="86"/>
      <c r="K142" s="86"/>
      <c r="L142" s="88">
        <f t="shared" si="230"/>
        <v>56500</v>
      </c>
      <c r="M142" s="88"/>
      <c r="N142" s="88">
        <f t="shared" si="239"/>
        <v>9165</v>
      </c>
      <c r="O142" s="85"/>
      <c r="P142" s="83">
        <v>43770</v>
      </c>
      <c r="Q142" s="84">
        <f>Q141</f>
        <v>1.64</v>
      </c>
      <c r="R142" s="86">
        <f t="shared" si="231"/>
        <v>23500</v>
      </c>
      <c r="S142" s="87">
        <f t="shared" si="232"/>
        <v>38540</v>
      </c>
      <c r="T142" s="86">
        <f t="shared" si="162"/>
        <v>3525</v>
      </c>
      <c r="U142" s="86">
        <f t="shared" si="151"/>
        <v>300</v>
      </c>
      <c r="V142" s="86"/>
      <c r="W142" s="86">
        <f t="shared" si="246"/>
        <v>65865</v>
      </c>
      <c r="X142" s="87">
        <f t="shared" si="233"/>
        <v>200</v>
      </c>
      <c r="Y142" s="86"/>
      <c r="Z142" s="88"/>
      <c r="AA142" s="88">
        <f t="shared" si="234"/>
        <v>65665</v>
      </c>
      <c r="AB142" s="67"/>
      <c r="AC142" s="68" t="str">
        <f t="shared" si="235"/>
        <v>Nov-2019</v>
      </c>
      <c r="AD142" s="59">
        <f>AD141</f>
        <v>22810</v>
      </c>
      <c r="AE142" s="75">
        <f>IF(Arrear!$C$7="Y",AG142,IF(Arrear!$C$6="Y",AF142,0))</f>
        <v>23500</v>
      </c>
      <c r="AF142" s="58">
        <f t="shared" si="240"/>
        <v>23500</v>
      </c>
      <c r="AG142" s="58">
        <f t="shared" si="241"/>
        <v>23500</v>
      </c>
      <c r="AH142" s="58">
        <f t="shared" si="242"/>
        <v>24210</v>
      </c>
      <c r="AI142" s="58">
        <f t="shared" ref="AI142" si="256">AH142+IF(MOD(AH142*0.03,10)&gt;=1,AH142*0.03-MOD(AH142*0.03,10)+10,AH142*0.03-MOD(AH142*0.03,10))</f>
        <v>24940</v>
      </c>
      <c r="AJ142" s="69">
        <f>IF(TEXT($O$7,"mmm-yyy")=AC142,$M$2,AJ141)</f>
        <v>0</v>
      </c>
      <c r="AK142" s="59">
        <f t="shared" si="253"/>
        <v>0</v>
      </c>
      <c r="AL142" s="58">
        <f t="shared" si="217"/>
        <v>0</v>
      </c>
      <c r="AM142" s="69">
        <f t="shared" si="244"/>
        <v>23500</v>
      </c>
    </row>
    <row r="143" spans="1:40" s="70" customFormat="1" ht="15" customHeight="1" x14ac:dyDescent="0.25">
      <c r="A143" s="83">
        <v>43800</v>
      </c>
      <c r="B143" s="84">
        <v>1.25</v>
      </c>
      <c r="C143" s="85">
        <f t="shared" si="237"/>
        <v>23500</v>
      </c>
      <c r="D143" s="86">
        <f t="shared" si="227"/>
        <v>29375</v>
      </c>
      <c r="E143" s="86">
        <f t="shared" si="228"/>
        <v>3525</v>
      </c>
      <c r="F143" s="86">
        <f t="shared" si="200"/>
        <v>300</v>
      </c>
      <c r="G143" s="86"/>
      <c r="H143" s="86">
        <f t="shared" si="238"/>
        <v>56700</v>
      </c>
      <c r="I143" s="87">
        <f t="shared" si="229"/>
        <v>200</v>
      </c>
      <c r="J143" s="86"/>
      <c r="K143" s="86"/>
      <c r="L143" s="88">
        <f t="shared" si="230"/>
        <v>56500</v>
      </c>
      <c r="M143" s="88"/>
      <c r="N143" s="88">
        <f t="shared" si="239"/>
        <v>9165</v>
      </c>
      <c r="O143" s="85"/>
      <c r="P143" s="83">
        <v>43800</v>
      </c>
      <c r="Q143" s="84">
        <f>Q142</f>
        <v>1.64</v>
      </c>
      <c r="R143" s="86">
        <f t="shared" si="231"/>
        <v>23500</v>
      </c>
      <c r="S143" s="87">
        <f t="shared" si="232"/>
        <v>38540</v>
      </c>
      <c r="T143" s="86">
        <f t="shared" si="162"/>
        <v>3525</v>
      </c>
      <c r="U143" s="86">
        <f t="shared" si="151"/>
        <v>300</v>
      </c>
      <c r="V143" s="86"/>
      <c r="W143" s="86">
        <f t="shared" si="246"/>
        <v>65865</v>
      </c>
      <c r="X143" s="87">
        <f t="shared" si="233"/>
        <v>200</v>
      </c>
      <c r="Y143" s="86"/>
      <c r="Z143" s="88"/>
      <c r="AA143" s="88">
        <f t="shared" si="234"/>
        <v>65665</v>
      </c>
      <c r="AB143" s="67"/>
      <c r="AC143" s="68" t="str">
        <f t="shared" si="235"/>
        <v>Dec-2019</v>
      </c>
      <c r="AD143" s="59">
        <f>AD142</f>
        <v>22810</v>
      </c>
      <c r="AE143" s="75">
        <f>IF(Arrear!$C$7="Y",AG143,IF(Arrear!$C$6="Y",AF143,0))</f>
        <v>23500</v>
      </c>
      <c r="AF143" s="58">
        <f t="shared" si="240"/>
        <v>23500</v>
      </c>
      <c r="AG143" s="58">
        <f t="shared" si="241"/>
        <v>23500</v>
      </c>
      <c r="AH143" s="58">
        <f t="shared" si="242"/>
        <v>24210</v>
      </c>
      <c r="AI143" s="58">
        <f t="shared" ref="AI143" si="257">AH143+IF(MOD(AH143*0.03,10)&gt;=1,AH143*0.03-MOD(AH143*0.03,10)+10,AH143*0.03-MOD(AH143*0.03,10))</f>
        <v>24940</v>
      </c>
      <c r="AJ143" s="69">
        <f>IF(TEXT($O$7,"mmm-yyy")=AC143,$M$2,AJ142)</f>
        <v>0</v>
      </c>
      <c r="AK143" s="59">
        <f t="shared" si="253"/>
        <v>0</v>
      </c>
      <c r="AL143" s="58">
        <f t="shared" si="217"/>
        <v>0</v>
      </c>
      <c r="AM143" s="69">
        <f t="shared" si="244"/>
        <v>23500</v>
      </c>
    </row>
    <row r="144" spans="1:40" x14ac:dyDescent="0.25"/>
    <row r="145" spans="29:30" hidden="1" x14ac:dyDescent="0.25">
      <c r="AC145" s="65"/>
      <c r="AD145" s="40"/>
    </row>
    <row r="146" spans="29:30" hidden="1" x14ac:dyDescent="0.25">
      <c r="AC146" s="65"/>
      <c r="AD146" s="40"/>
    </row>
    <row r="147" spans="29:30" hidden="1" x14ac:dyDescent="0.25">
      <c r="AC147" s="65"/>
      <c r="AD147" s="40"/>
    </row>
    <row r="148" spans="29:30" hidden="1" x14ac:dyDescent="0.25">
      <c r="AC148" s="65"/>
      <c r="AD148" s="40"/>
    </row>
    <row r="149" spans="29:30" hidden="1" x14ac:dyDescent="0.25">
      <c r="AC149" s="65"/>
      <c r="AD149" s="40"/>
    </row>
    <row r="150" spans="29:30" hidden="1" x14ac:dyDescent="0.25">
      <c r="AC150" s="65"/>
      <c r="AD150" s="40"/>
    </row>
    <row r="151" spans="29:30" hidden="1" x14ac:dyDescent="0.25">
      <c r="AC151" s="65"/>
      <c r="AD151" s="40"/>
    </row>
  </sheetData>
  <sheetProtection algorithmName="SHA-512" hashValue="t6WjkYfyaFHL2CCJNCPv8D+YcbyQdYiwzdGmXuTZgenSg+iOBvetvWXORX6vUS9Z72STpF/dvv1zrAmXXf4BHg==" saltValue="PFmcio+N2T7wm8L1kaMMZg==" spinCount="100000" sheet="1" objects="1" scenarios="1"/>
  <mergeCells count="3">
    <mergeCell ref="A1:L1"/>
    <mergeCell ref="P1:AA1"/>
    <mergeCell ref="O13:O14"/>
  </mergeCells>
  <printOptions horizontalCentered="1"/>
  <pageMargins left="0.32" right="0.27" top="0.68" bottom="0.38" header="0.39370078740157483" footer="0.32"/>
  <pageSetup paperSize="9" scale="91" fitToHeight="0" orientation="landscape" verticalDpi="300" r:id="rId1"/>
  <headerFooter alignWithMargins="0">
    <oddHeader>&amp;C&amp;"Arial,Bold"&amp;14ROPA 2009 DA ARREAR CALCULATION</oddHeader>
  </headerFooter>
  <ignoredErrors>
    <ignoredError sqref="S3:S1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8804D-C21B-468F-96F9-88D12D5F0989}">
  <dimension ref="A1:AB74"/>
  <sheetViews>
    <sheetView workbookViewId="0">
      <selection activeCell="H22" sqref="H22"/>
    </sheetView>
  </sheetViews>
  <sheetFormatPr defaultRowHeight="13.2" x14ac:dyDescent="0.25"/>
  <cols>
    <col min="1" max="1" width="8.21875" bestFit="1" customWidth="1"/>
    <col min="2" max="2" width="9" bestFit="1" customWidth="1"/>
    <col min="3" max="3" width="6.5546875" bestFit="1" customWidth="1"/>
    <col min="4" max="4" width="7.21875" bestFit="1" customWidth="1"/>
    <col min="5" max="5" width="5.5546875" bestFit="1" customWidth="1"/>
    <col min="6" max="6" width="4" bestFit="1" customWidth="1"/>
    <col min="7" max="7" width="2.77734375" bestFit="1" customWidth="1"/>
    <col min="8" max="8" width="7.6640625" bestFit="1" customWidth="1"/>
    <col min="9" max="9" width="5.77734375" bestFit="1" customWidth="1"/>
    <col min="10" max="11" width="5.5546875" bestFit="1" customWidth="1"/>
    <col min="12" max="12" width="8.77734375" bestFit="1" customWidth="1"/>
    <col min="13" max="13" width="10.6640625" bestFit="1" customWidth="1"/>
    <col min="14" max="14" width="12.6640625" bestFit="1" customWidth="1"/>
    <col min="15" max="15" width="11.6640625" bestFit="1" customWidth="1"/>
    <col min="16" max="16" width="8.21875" bestFit="1" customWidth="1"/>
    <col min="17" max="17" width="9" bestFit="1" customWidth="1"/>
    <col min="18" max="19" width="6.5546875" bestFit="1" customWidth="1"/>
    <col min="20" max="20" width="5.5546875" bestFit="1" customWidth="1"/>
    <col min="21" max="21" width="4" bestFit="1" customWidth="1"/>
    <col min="22" max="22" width="2.77734375" bestFit="1" customWidth="1"/>
    <col min="23" max="23" width="8.109375" bestFit="1" customWidth="1"/>
    <col min="24" max="24" width="5.77734375" bestFit="1" customWidth="1"/>
    <col min="25" max="25" width="5.5546875" bestFit="1" customWidth="1"/>
    <col min="26" max="26" width="6.109375" bestFit="1" customWidth="1"/>
    <col min="27" max="27" width="8.77734375" bestFit="1" customWidth="1"/>
    <col min="28" max="28" width="6.21875" bestFit="1" customWidth="1"/>
  </cols>
  <sheetData>
    <row r="1" spans="1:27" x14ac:dyDescent="0.25">
      <c r="A1" s="109" t="s">
        <v>13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2" t="s">
        <v>17</v>
      </c>
      <c r="N1" s="5" t="s">
        <v>16</v>
      </c>
      <c r="O1" s="2"/>
      <c r="P1" s="109" t="s">
        <v>14</v>
      </c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</row>
    <row r="2" spans="1:27" x14ac:dyDescent="0.25">
      <c r="A2" s="4" t="s">
        <v>0</v>
      </c>
      <c r="B2" s="4" t="s">
        <v>15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39">
        <v>60800</v>
      </c>
      <c r="N2" s="38">
        <f>SUM(N3:N74)</f>
        <v>1487682</v>
      </c>
      <c r="O2" s="39"/>
      <c r="P2" s="4" t="s">
        <v>0</v>
      </c>
      <c r="Q2" s="4" t="s">
        <v>15</v>
      </c>
      <c r="R2" s="4" t="s">
        <v>1</v>
      </c>
      <c r="S2" s="4" t="s">
        <v>2</v>
      </c>
      <c r="T2" s="4" t="s">
        <v>3</v>
      </c>
      <c r="U2" s="4" t="s">
        <v>4</v>
      </c>
      <c r="V2" s="4" t="s">
        <v>5</v>
      </c>
      <c r="W2" s="4" t="s">
        <v>6</v>
      </c>
      <c r="X2" s="4" t="s">
        <v>7</v>
      </c>
      <c r="Y2" s="4" t="s">
        <v>8</v>
      </c>
      <c r="Z2" s="4" t="s">
        <v>11</v>
      </c>
      <c r="AA2" s="4" t="s">
        <v>10</v>
      </c>
    </row>
    <row r="3" spans="1:27" s="34" customFormat="1" x14ac:dyDescent="0.25">
      <c r="A3" s="29">
        <v>43854</v>
      </c>
      <c r="B3" s="1">
        <v>0</v>
      </c>
      <c r="C3" s="30">
        <f>M2</f>
        <v>60800</v>
      </c>
      <c r="D3" s="31">
        <f t="shared" ref="D3:D14" si="0">ROUND(C3*0,0)</f>
        <v>0</v>
      </c>
      <c r="E3" s="31">
        <f>C3*0.12</f>
        <v>7296</v>
      </c>
      <c r="F3" s="31">
        <f>500</f>
        <v>500</v>
      </c>
      <c r="G3" s="31"/>
      <c r="H3" s="31">
        <f t="shared" ref="H3:H34" si="1">SUM(C3:F3)</f>
        <v>68596</v>
      </c>
      <c r="I3" s="30">
        <f t="shared" ref="I3:I34" si="2">IF(H3&gt;40000,200,IF(H3&gt;25000,150,IF(H3&gt;15000,130,IF(H3&gt;9000,110,IF(H3&gt;8000,90,IF(H3&gt;7000,50,IF(H3&gt;6000,45,IF(H3&gt;5000,40,0))))))))</f>
        <v>200</v>
      </c>
      <c r="J3" s="31"/>
      <c r="K3" s="32"/>
      <c r="L3" s="33">
        <f t="shared" ref="L3:L34" si="3">(H3-(I3+J3+K3))</f>
        <v>68396</v>
      </c>
      <c r="M3" s="33"/>
      <c r="N3" s="11">
        <f t="shared" ref="N3:N34" si="4">AA3-L3</f>
        <v>10336</v>
      </c>
      <c r="P3" s="29">
        <v>43854</v>
      </c>
      <c r="Q3" s="1">
        <v>0.17</v>
      </c>
      <c r="R3" s="30">
        <f>C3</f>
        <v>60800</v>
      </c>
      <c r="S3" s="30">
        <f t="shared" ref="S3:S34" si="5">ROUND(R3*Q3,0)</f>
        <v>10336</v>
      </c>
      <c r="T3" s="31">
        <f>R3*0.12</f>
        <v>7296</v>
      </c>
      <c r="U3" s="31">
        <f>500</f>
        <v>500</v>
      </c>
      <c r="V3" s="31"/>
      <c r="W3" s="31">
        <f t="shared" ref="W3:W34" si="6">SUM(R3:U3)</f>
        <v>78932</v>
      </c>
      <c r="X3" s="30">
        <f t="shared" ref="X3:X34" si="7">IF(W3&gt;40000,200,IF(W3&gt;25000,150,IF(W3&gt;15000,130,IF(W3&gt;9000,110,IF(W3&gt;8000,90,IF(W3&gt;7000,50,IF(W3&gt;6000,45,IF(W3&gt;5000,40,0))))))))</f>
        <v>200</v>
      </c>
      <c r="Y3" s="31"/>
      <c r="Z3" s="33"/>
      <c r="AA3" s="33">
        <f t="shared" ref="AA3:AA34" si="8">(W3-SUM(X3:Z3))</f>
        <v>78732</v>
      </c>
    </row>
    <row r="4" spans="1:27" s="3" customFormat="1" x14ac:dyDescent="0.25">
      <c r="A4" s="22">
        <v>43885</v>
      </c>
      <c r="B4" s="1">
        <v>0</v>
      </c>
      <c r="C4" s="23">
        <f>C3</f>
        <v>60800</v>
      </c>
      <c r="D4" s="24">
        <f t="shared" si="0"/>
        <v>0</v>
      </c>
      <c r="E4" s="24">
        <f t="shared" ref="E4:E67" si="9">C4*0.12</f>
        <v>7296</v>
      </c>
      <c r="F4" s="24">
        <f>500</f>
        <v>500</v>
      </c>
      <c r="G4" s="24"/>
      <c r="H4" s="24">
        <f t="shared" si="1"/>
        <v>68596</v>
      </c>
      <c r="I4" s="23">
        <f t="shared" si="2"/>
        <v>200</v>
      </c>
      <c r="J4" s="24"/>
      <c r="K4" s="25"/>
      <c r="L4" s="26">
        <f t="shared" si="3"/>
        <v>68396</v>
      </c>
      <c r="M4" s="26"/>
      <c r="N4" s="11">
        <f t="shared" si="4"/>
        <v>10336</v>
      </c>
      <c r="O4" s="27"/>
      <c r="P4" s="22">
        <v>43885</v>
      </c>
      <c r="Q4" s="1">
        <f t="shared" ref="Q4:Q20" si="10">Q3</f>
        <v>0.17</v>
      </c>
      <c r="R4" s="23">
        <f t="shared" ref="R4:R67" si="11">C4</f>
        <v>60800</v>
      </c>
      <c r="S4" s="23">
        <f t="shared" si="5"/>
        <v>10336</v>
      </c>
      <c r="T4" s="24">
        <f t="shared" ref="T4:T67" si="12">R4*0.12</f>
        <v>7296</v>
      </c>
      <c r="U4" s="24">
        <f>500</f>
        <v>500</v>
      </c>
      <c r="V4" s="24"/>
      <c r="W4" s="24">
        <f t="shared" si="6"/>
        <v>78932</v>
      </c>
      <c r="X4" s="23">
        <f t="shared" si="7"/>
        <v>200</v>
      </c>
      <c r="Y4" s="24"/>
      <c r="Z4" s="26"/>
      <c r="AA4" s="26">
        <f t="shared" si="8"/>
        <v>78732</v>
      </c>
    </row>
    <row r="5" spans="1:27" s="3" customFormat="1" x14ac:dyDescent="0.25">
      <c r="A5" s="7">
        <v>43914</v>
      </c>
      <c r="B5" s="1">
        <v>0</v>
      </c>
      <c r="C5" s="10">
        <f>C4</f>
        <v>60800</v>
      </c>
      <c r="D5" s="9">
        <f t="shared" si="0"/>
        <v>0</v>
      </c>
      <c r="E5" s="9">
        <f t="shared" si="9"/>
        <v>7296</v>
      </c>
      <c r="F5" s="9">
        <f>500</f>
        <v>500</v>
      </c>
      <c r="G5" s="9"/>
      <c r="H5" s="9">
        <f t="shared" si="1"/>
        <v>68596</v>
      </c>
      <c r="I5" s="10">
        <f t="shared" si="2"/>
        <v>200</v>
      </c>
      <c r="J5" s="9"/>
      <c r="K5" s="8"/>
      <c r="L5" s="11">
        <f t="shared" si="3"/>
        <v>68396</v>
      </c>
      <c r="M5" s="11"/>
      <c r="N5" s="11">
        <f t="shared" si="4"/>
        <v>10336</v>
      </c>
      <c r="P5" s="7">
        <v>43914</v>
      </c>
      <c r="Q5" s="1">
        <f t="shared" si="10"/>
        <v>0.17</v>
      </c>
      <c r="R5" s="10">
        <f t="shared" si="11"/>
        <v>60800</v>
      </c>
      <c r="S5" s="10">
        <f t="shared" si="5"/>
        <v>10336</v>
      </c>
      <c r="T5" s="9">
        <f t="shared" si="12"/>
        <v>7296</v>
      </c>
      <c r="U5" s="9">
        <f>500</f>
        <v>500</v>
      </c>
      <c r="V5" s="9"/>
      <c r="W5" s="9">
        <f t="shared" si="6"/>
        <v>78932</v>
      </c>
      <c r="X5" s="10">
        <f t="shared" si="7"/>
        <v>200</v>
      </c>
      <c r="Y5" s="9"/>
      <c r="Z5" s="16"/>
      <c r="AA5" s="11">
        <f t="shared" si="8"/>
        <v>78732</v>
      </c>
    </row>
    <row r="6" spans="1:27" s="3" customFormat="1" x14ac:dyDescent="0.25">
      <c r="A6" s="7">
        <v>43945</v>
      </c>
      <c r="B6" s="1">
        <v>0</v>
      </c>
      <c r="C6" s="10">
        <f>C5</f>
        <v>60800</v>
      </c>
      <c r="D6" s="9">
        <f t="shared" si="0"/>
        <v>0</v>
      </c>
      <c r="E6" s="9">
        <f t="shared" si="9"/>
        <v>7296</v>
      </c>
      <c r="F6" s="9">
        <f>500</f>
        <v>500</v>
      </c>
      <c r="G6" s="9"/>
      <c r="H6" s="9">
        <f t="shared" si="1"/>
        <v>68596</v>
      </c>
      <c r="I6" s="10">
        <f t="shared" si="2"/>
        <v>200</v>
      </c>
      <c r="J6" s="9"/>
      <c r="K6" s="8"/>
      <c r="L6" s="11">
        <f t="shared" si="3"/>
        <v>68396</v>
      </c>
      <c r="M6" s="11"/>
      <c r="N6" s="11">
        <f t="shared" si="4"/>
        <v>10336</v>
      </c>
      <c r="P6" s="7">
        <v>43945</v>
      </c>
      <c r="Q6" s="1">
        <f t="shared" si="10"/>
        <v>0.17</v>
      </c>
      <c r="R6" s="10">
        <f t="shared" si="11"/>
        <v>60800</v>
      </c>
      <c r="S6" s="10">
        <f t="shared" si="5"/>
        <v>10336</v>
      </c>
      <c r="T6" s="9">
        <f t="shared" si="12"/>
        <v>7296</v>
      </c>
      <c r="U6" s="9">
        <f>500</f>
        <v>500</v>
      </c>
      <c r="V6" s="9"/>
      <c r="W6" s="9">
        <f t="shared" si="6"/>
        <v>78932</v>
      </c>
      <c r="X6" s="10">
        <f t="shared" si="7"/>
        <v>200</v>
      </c>
      <c r="Y6" s="9"/>
      <c r="Z6" s="11"/>
      <c r="AA6" s="11">
        <f t="shared" si="8"/>
        <v>78732</v>
      </c>
    </row>
    <row r="7" spans="1:27" s="3" customFormat="1" x14ac:dyDescent="0.25">
      <c r="A7" s="7">
        <v>43975</v>
      </c>
      <c r="B7" s="1">
        <v>0</v>
      </c>
      <c r="C7" s="10">
        <f>C6</f>
        <v>60800</v>
      </c>
      <c r="D7" s="9">
        <f t="shared" si="0"/>
        <v>0</v>
      </c>
      <c r="E7" s="9">
        <f t="shared" si="9"/>
        <v>7296</v>
      </c>
      <c r="F7" s="9">
        <f>500</f>
        <v>500</v>
      </c>
      <c r="G7" s="9"/>
      <c r="H7" s="9">
        <f t="shared" si="1"/>
        <v>68596</v>
      </c>
      <c r="I7" s="10">
        <f t="shared" si="2"/>
        <v>200</v>
      </c>
      <c r="J7" s="9"/>
      <c r="K7" s="8"/>
      <c r="L7" s="11">
        <f t="shared" si="3"/>
        <v>68396</v>
      </c>
      <c r="M7" s="11"/>
      <c r="N7" s="11">
        <f t="shared" si="4"/>
        <v>10336</v>
      </c>
      <c r="P7" s="7">
        <v>43975</v>
      </c>
      <c r="Q7" s="1">
        <f t="shared" si="10"/>
        <v>0.17</v>
      </c>
      <c r="R7" s="10">
        <f t="shared" si="11"/>
        <v>60800</v>
      </c>
      <c r="S7" s="10">
        <f t="shared" si="5"/>
        <v>10336</v>
      </c>
      <c r="T7" s="9">
        <f t="shared" si="12"/>
        <v>7296</v>
      </c>
      <c r="U7" s="9">
        <f>500</f>
        <v>500</v>
      </c>
      <c r="V7" s="9"/>
      <c r="W7" s="9">
        <f t="shared" si="6"/>
        <v>78932</v>
      </c>
      <c r="X7" s="10">
        <f t="shared" si="7"/>
        <v>200</v>
      </c>
      <c r="Y7" s="9"/>
      <c r="Z7" s="11"/>
      <c r="AA7" s="11">
        <f t="shared" si="8"/>
        <v>78732</v>
      </c>
    </row>
    <row r="8" spans="1:27" s="3" customFormat="1" x14ac:dyDescent="0.25">
      <c r="A8" s="7">
        <v>44006</v>
      </c>
      <c r="B8" s="1">
        <v>0</v>
      </c>
      <c r="C8" s="10">
        <f>C7</f>
        <v>60800</v>
      </c>
      <c r="D8" s="9">
        <f t="shared" si="0"/>
        <v>0</v>
      </c>
      <c r="E8" s="9">
        <f t="shared" si="9"/>
        <v>7296</v>
      </c>
      <c r="F8" s="9">
        <f>500</f>
        <v>500</v>
      </c>
      <c r="G8" s="9"/>
      <c r="H8" s="9">
        <f t="shared" si="1"/>
        <v>68596</v>
      </c>
      <c r="I8" s="10">
        <f t="shared" si="2"/>
        <v>200</v>
      </c>
      <c r="J8" s="9"/>
      <c r="K8" s="8"/>
      <c r="L8" s="11">
        <f t="shared" si="3"/>
        <v>68396</v>
      </c>
      <c r="M8" s="11"/>
      <c r="N8" s="11">
        <f t="shared" si="4"/>
        <v>10336</v>
      </c>
      <c r="P8" s="7">
        <v>44006</v>
      </c>
      <c r="Q8" s="1">
        <f t="shared" si="10"/>
        <v>0.17</v>
      </c>
      <c r="R8" s="10">
        <f t="shared" si="11"/>
        <v>60800</v>
      </c>
      <c r="S8" s="10">
        <f t="shared" si="5"/>
        <v>10336</v>
      </c>
      <c r="T8" s="9">
        <f t="shared" si="12"/>
        <v>7296</v>
      </c>
      <c r="U8" s="9">
        <f>500</f>
        <v>500</v>
      </c>
      <c r="V8" s="9"/>
      <c r="W8" s="9">
        <f t="shared" si="6"/>
        <v>78932</v>
      </c>
      <c r="X8" s="10">
        <f t="shared" si="7"/>
        <v>200</v>
      </c>
      <c r="Y8" s="9"/>
      <c r="Z8" s="11"/>
      <c r="AA8" s="11">
        <f t="shared" si="8"/>
        <v>78732</v>
      </c>
    </row>
    <row r="9" spans="1:27" s="3" customFormat="1" x14ac:dyDescent="0.25">
      <c r="A9" s="7">
        <v>44036</v>
      </c>
      <c r="B9" s="1">
        <v>0</v>
      </c>
      <c r="C9" s="10">
        <f>C3+IF(MOD(C3*0.03,100)&gt;50,C3*0.03-MOD(C3*0.03,100)+100,C3*0.03-MOD(C3*0.03,100))</f>
        <v>62600</v>
      </c>
      <c r="D9" s="9">
        <f t="shared" si="0"/>
        <v>0</v>
      </c>
      <c r="E9" s="9">
        <f t="shared" si="9"/>
        <v>7512</v>
      </c>
      <c r="F9" s="9">
        <f>500</f>
        <v>500</v>
      </c>
      <c r="G9" s="9"/>
      <c r="H9" s="9">
        <f t="shared" si="1"/>
        <v>70612</v>
      </c>
      <c r="I9" s="10">
        <f t="shared" si="2"/>
        <v>200</v>
      </c>
      <c r="J9" s="9"/>
      <c r="K9" s="8"/>
      <c r="L9" s="11">
        <f t="shared" si="3"/>
        <v>70412</v>
      </c>
      <c r="M9" s="11"/>
      <c r="N9" s="11">
        <f t="shared" si="4"/>
        <v>10642</v>
      </c>
      <c r="P9" s="7">
        <v>44036</v>
      </c>
      <c r="Q9" s="1">
        <f t="shared" si="10"/>
        <v>0.17</v>
      </c>
      <c r="R9" s="10">
        <f t="shared" si="11"/>
        <v>62600</v>
      </c>
      <c r="S9" s="10">
        <f t="shared" si="5"/>
        <v>10642</v>
      </c>
      <c r="T9" s="9">
        <f t="shared" si="12"/>
        <v>7512</v>
      </c>
      <c r="U9" s="9">
        <f>500</f>
        <v>500</v>
      </c>
      <c r="V9" s="9"/>
      <c r="W9" s="9">
        <f t="shared" si="6"/>
        <v>81254</v>
      </c>
      <c r="X9" s="10">
        <f t="shared" si="7"/>
        <v>200</v>
      </c>
      <c r="Y9" s="9"/>
      <c r="Z9" s="11"/>
      <c r="AA9" s="11">
        <f t="shared" si="8"/>
        <v>81054</v>
      </c>
    </row>
    <row r="10" spans="1:27" s="3" customFormat="1" x14ac:dyDescent="0.25">
      <c r="A10" s="7">
        <v>44067</v>
      </c>
      <c r="B10" s="1">
        <v>0</v>
      </c>
      <c r="C10" s="10">
        <f t="shared" ref="C10:C20" si="13">C9</f>
        <v>62600</v>
      </c>
      <c r="D10" s="9">
        <f t="shared" si="0"/>
        <v>0</v>
      </c>
      <c r="E10" s="9">
        <f t="shared" si="9"/>
        <v>7512</v>
      </c>
      <c r="F10" s="9">
        <f>500</f>
        <v>500</v>
      </c>
      <c r="G10" s="9"/>
      <c r="H10" s="9">
        <f t="shared" si="1"/>
        <v>70612</v>
      </c>
      <c r="I10" s="10">
        <f t="shared" si="2"/>
        <v>200</v>
      </c>
      <c r="J10" s="9"/>
      <c r="K10" s="8"/>
      <c r="L10" s="11">
        <f t="shared" si="3"/>
        <v>70412</v>
      </c>
      <c r="M10" s="11"/>
      <c r="N10" s="11">
        <f t="shared" si="4"/>
        <v>10642</v>
      </c>
      <c r="P10" s="7">
        <v>44067</v>
      </c>
      <c r="Q10" s="1">
        <f t="shared" si="10"/>
        <v>0.17</v>
      </c>
      <c r="R10" s="10">
        <f t="shared" si="11"/>
        <v>62600</v>
      </c>
      <c r="S10" s="10">
        <f t="shared" si="5"/>
        <v>10642</v>
      </c>
      <c r="T10" s="9">
        <f t="shared" si="12"/>
        <v>7512</v>
      </c>
      <c r="U10" s="9">
        <f>500</f>
        <v>500</v>
      </c>
      <c r="V10" s="9"/>
      <c r="W10" s="9">
        <f t="shared" si="6"/>
        <v>81254</v>
      </c>
      <c r="X10" s="10">
        <f t="shared" si="7"/>
        <v>200</v>
      </c>
      <c r="Y10" s="9"/>
      <c r="Z10" s="11"/>
      <c r="AA10" s="11">
        <f t="shared" si="8"/>
        <v>81054</v>
      </c>
    </row>
    <row r="11" spans="1:27" s="3" customFormat="1" x14ac:dyDescent="0.25">
      <c r="A11" s="7">
        <v>44098</v>
      </c>
      <c r="B11" s="1">
        <v>0</v>
      </c>
      <c r="C11" s="10">
        <f t="shared" si="13"/>
        <v>62600</v>
      </c>
      <c r="D11" s="9">
        <f t="shared" si="0"/>
        <v>0</v>
      </c>
      <c r="E11" s="9">
        <f t="shared" si="9"/>
        <v>7512</v>
      </c>
      <c r="F11" s="9">
        <f>500</f>
        <v>500</v>
      </c>
      <c r="G11" s="9"/>
      <c r="H11" s="9">
        <f t="shared" si="1"/>
        <v>70612</v>
      </c>
      <c r="I11" s="10">
        <f t="shared" si="2"/>
        <v>200</v>
      </c>
      <c r="J11" s="9"/>
      <c r="K11" s="8"/>
      <c r="L11" s="11">
        <f t="shared" si="3"/>
        <v>70412</v>
      </c>
      <c r="M11" s="11"/>
      <c r="N11" s="11">
        <f t="shared" si="4"/>
        <v>10642</v>
      </c>
      <c r="P11" s="7">
        <v>44098</v>
      </c>
      <c r="Q11" s="1">
        <f t="shared" si="10"/>
        <v>0.17</v>
      </c>
      <c r="R11" s="10">
        <f t="shared" si="11"/>
        <v>62600</v>
      </c>
      <c r="S11" s="10">
        <f t="shared" si="5"/>
        <v>10642</v>
      </c>
      <c r="T11" s="9">
        <f t="shared" si="12"/>
        <v>7512</v>
      </c>
      <c r="U11" s="9">
        <f>500</f>
        <v>500</v>
      </c>
      <c r="V11" s="9"/>
      <c r="W11" s="9">
        <f t="shared" si="6"/>
        <v>81254</v>
      </c>
      <c r="X11" s="10">
        <f t="shared" si="7"/>
        <v>200</v>
      </c>
      <c r="Y11" s="9"/>
      <c r="Z11" s="11"/>
      <c r="AA11" s="11">
        <f t="shared" si="8"/>
        <v>81054</v>
      </c>
    </row>
    <row r="12" spans="1:27" s="3" customFormat="1" x14ac:dyDescent="0.25">
      <c r="A12" s="7">
        <v>44128</v>
      </c>
      <c r="B12" s="1">
        <v>0</v>
      </c>
      <c r="C12" s="10">
        <f t="shared" si="13"/>
        <v>62600</v>
      </c>
      <c r="D12" s="9">
        <f t="shared" si="0"/>
        <v>0</v>
      </c>
      <c r="E12" s="9">
        <f t="shared" si="9"/>
        <v>7512</v>
      </c>
      <c r="F12" s="9">
        <f>500</f>
        <v>500</v>
      </c>
      <c r="G12" s="9"/>
      <c r="H12" s="9">
        <f t="shared" si="1"/>
        <v>70612</v>
      </c>
      <c r="I12" s="10">
        <f t="shared" si="2"/>
        <v>200</v>
      </c>
      <c r="J12" s="9"/>
      <c r="K12" s="8"/>
      <c r="L12" s="11">
        <f t="shared" si="3"/>
        <v>70412</v>
      </c>
      <c r="M12" s="11"/>
      <c r="N12" s="11">
        <f t="shared" si="4"/>
        <v>10642</v>
      </c>
      <c r="P12" s="7">
        <v>44128</v>
      </c>
      <c r="Q12" s="1">
        <f t="shared" si="10"/>
        <v>0.17</v>
      </c>
      <c r="R12" s="10">
        <f t="shared" si="11"/>
        <v>62600</v>
      </c>
      <c r="S12" s="10">
        <f t="shared" si="5"/>
        <v>10642</v>
      </c>
      <c r="T12" s="9">
        <f t="shared" si="12"/>
        <v>7512</v>
      </c>
      <c r="U12" s="9">
        <f>500</f>
        <v>500</v>
      </c>
      <c r="V12" s="9"/>
      <c r="W12" s="9">
        <f t="shared" si="6"/>
        <v>81254</v>
      </c>
      <c r="X12" s="10">
        <f t="shared" si="7"/>
        <v>200</v>
      </c>
      <c r="Y12" s="9"/>
      <c r="Z12" s="11"/>
      <c r="AA12" s="11">
        <f t="shared" si="8"/>
        <v>81054</v>
      </c>
    </row>
    <row r="13" spans="1:27" s="3" customFormat="1" x14ac:dyDescent="0.25">
      <c r="A13" s="7">
        <v>44159</v>
      </c>
      <c r="B13" s="1">
        <v>0</v>
      </c>
      <c r="C13" s="10">
        <f t="shared" si="13"/>
        <v>62600</v>
      </c>
      <c r="D13" s="9">
        <f t="shared" si="0"/>
        <v>0</v>
      </c>
      <c r="E13" s="9">
        <f t="shared" si="9"/>
        <v>7512</v>
      </c>
      <c r="F13" s="9">
        <f>500</f>
        <v>500</v>
      </c>
      <c r="G13" s="9"/>
      <c r="H13" s="9">
        <f t="shared" si="1"/>
        <v>70612</v>
      </c>
      <c r="I13" s="10">
        <f t="shared" si="2"/>
        <v>200</v>
      </c>
      <c r="J13" s="9"/>
      <c r="K13" s="8"/>
      <c r="L13" s="11">
        <f t="shared" si="3"/>
        <v>70412</v>
      </c>
      <c r="M13" s="11"/>
      <c r="N13" s="11">
        <f t="shared" si="4"/>
        <v>10642</v>
      </c>
      <c r="P13" s="7">
        <v>44159</v>
      </c>
      <c r="Q13" s="1">
        <f t="shared" si="10"/>
        <v>0.17</v>
      </c>
      <c r="R13" s="10">
        <f t="shared" si="11"/>
        <v>62600</v>
      </c>
      <c r="S13" s="10">
        <f t="shared" si="5"/>
        <v>10642</v>
      </c>
      <c r="T13" s="9">
        <f t="shared" si="12"/>
        <v>7512</v>
      </c>
      <c r="U13" s="9">
        <f>500</f>
        <v>500</v>
      </c>
      <c r="V13" s="9"/>
      <c r="W13" s="9">
        <f t="shared" si="6"/>
        <v>81254</v>
      </c>
      <c r="X13" s="10">
        <f t="shared" si="7"/>
        <v>200</v>
      </c>
      <c r="Y13" s="9"/>
      <c r="Z13" s="11"/>
      <c r="AA13" s="11">
        <f t="shared" si="8"/>
        <v>81054</v>
      </c>
    </row>
    <row r="14" spans="1:27" s="3" customFormat="1" x14ac:dyDescent="0.25">
      <c r="A14" s="7">
        <v>44189</v>
      </c>
      <c r="B14" s="1">
        <v>0</v>
      </c>
      <c r="C14" s="10">
        <f t="shared" si="13"/>
        <v>62600</v>
      </c>
      <c r="D14" s="9">
        <f t="shared" si="0"/>
        <v>0</v>
      </c>
      <c r="E14" s="9">
        <f t="shared" si="9"/>
        <v>7512</v>
      </c>
      <c r="F14" s="9">
        <f>500</f>
        <v>500</v>
      </c>
      <c r="G14" s="9"/>
      <c r="H14" s="9">
        <f t="shared" si="1"/>
        <v>70612</v>
      </c>
      <c r="I14" s="10">
        <f t="shared" si="2"/>
        <v>200</v>
      </c>
      <c r="J14" s="9"/>
      <c r="K14" s="8"/>
      <c r="L14" s="11">
        <f t="shared" si="3"/>
        <v>70412</v>
      </c>
      <c r="M14" s="11"/>
      <c r="N14" s="11">
        <f t="shared" si="4"/>
        <v>10642</v>
      </c>
      <c r="P14" s="7">
        <v>44189</v>
      </c>
      <c r="Q14" s="1">
        <f t="shared" si="10"/>
        <v>0.17</v>
      </c>
      <c r="R14" s="10">
        <f t="shared" si="11"/>
        <v>62600</v>
      </c>
      <c r="S14" s="10">
        <f t="shared" si="5"/>
        <v>10642</v>
      </c>
      <c r="T14" s="9">
        <f t="shared" si="12"/>
        <v>7512</v>
      </c>
      <c r="U14" s="9">
        <f>500</f>
        <v>500</v>
      </c>
      <c r="V14" s="9"/>
      <c r="W14" s="9">
        <f t="shared" si="6"/>
        <v>81254</v>
      </c>
      <c r="X14" s="10">
        <f t="shared" si="7"/>
        <v>200</v>
      </c>
      <c r="Y14" s="9"/>
      <c r="Z14" s="11"/>
      <c r="AA14" s="11">
        <f t="shared" si="8"/>
        <v>81054</v>
      </c>
    </row>
    <row r="15" spans="1:27" s="3" customFormat="1" x14ac:dyDescent="0.25">
      <c r="A15" s="7">
        <v>44220</v>
      </c>
      <c r="B15" s="1">
        <v>0.03</v>
      </c>
      <c r="C15" s="10">
        <f t="shared" si="13"/>
        <v>62600</v>
      </c>
      <c r="D15" s="9">
        <f t="shared" ref="D15:D40" si="14">ROUND(C15*0.03,0)</f>
        <v>1878</v>
      </c>
      <c r="E15" s="9">
        <f t="shared" si="9"/>
        <v>7512</v>
      </c>
      <c r="F15" s="9">
        <f>500</f>
        <v>500</v>
      </c>
      <c r="G15" s="9"/>
      <c r="H15" s="9">
        <f t="shared" si="1"/>
        <v>72490</v>
      </c>
      <c r="I15" s="10">
        <f t="shared" si="2"/>
        <v>200</v>
      </c>
      <c r="J15" s="9"/>
      <c r="K15" s="8"/>
      <c r="L15" s="11">
        <f t="shared" si="3"/>
        <v>72290</v>
      </c>
      <c r="M15" s="11"/>
      <c r="N15" s="11">
        <f t="shared" si="4"/>
        <v>8764</v>
      </c>
      <c r="P15" s="7">
        <v>44220</v>
      </c>
      <c r="Q15" s="1">
        <f t="shared" si="10"/>
        <v>0.17</v>
      </c>
      <c r="R15" s="10">
        <f t="shared" si="11"/>
        <v>62600</v>
      </c>
      <c r="S15" s="10">
        <f t="shared" si="5"/>
        <v>10642</v>
      </c>
      <c r="T15" s="9">
        <f t="shared" si="12"/>
        <v>7512</v>
      </c>
      <c r="U15" s="9">
        <f>500</f>
        <v>500</v>
      </c>
      <c r="V15" s="9"/>
      <c r="W15" s="9">
        <f t="shared" si="6"/>
        <v>81254</v>
      </c>
      <c r="X15" s="10">
        <f t="shared" si="7"/>
        <v>200</v>
      </c>
      <c r="Y15" s="9"/>
      <c r="Z15" s="11"/>
      <c r="AA15" s="11">
        <f t="shared" si="8"/>
        <v>81054</v>
      </c>
    </row>
    <row r="16" spans="1:27" s="27" customFormat="1" x14ac:dyDescent="0.25">
      <c r="A16" s="22">
        <v>44251</v>
      </c>
      <c r="B16" s="1">
        <v>0.03</v>
      </c>
      <c r="C16" s="23">
        <f t="shared" si="13"/>
        <v>62600</v>
      </c>
      <c r="D16" s="24">
        <f t="shared" si="14"/>
        <v>1878</v>
      </c>
      <c r="E16" s="24">
        <f t="shared" si="9"/>
        <v>7512</v>
      </c>
      <c r="F16" s="24">
        <f>500</f>
        <v>500</v>
      </c>
      <c r="G16" s="24"/>
      <c r="H16" s="24">
        <f t="shared" si="1"/>
        <v>72490</v>
      </c>
      <c r="I16" s="23">
        <f t="shared" si="2"/>
        <v>200</v>
      </c>
      <c r="J16" s="24"/>
      <c r="K16" s="25"/>
      <c r="L16" s="26">
        <f t="shared" si="3"/>
        <v>72290</v>
      </c>
      <c r="M16" s="26"/>
      <c r="N16" s="11">
        <f t="shared" si="4"/>
        <v>8764</v>
      </c>
      <c r="P16" s="22">
        <v>44251</v>
      </c>
      <c r="Q16" s="1">
        <f t="shared" si="10"/>
        <v>0.17</v>
      </c>
      <c r="R16" s="23">
        <f t="shared" si="11"/>
        <v>62600</v>
      </c>
      <c r="S16" s="23">
        <f t="shared" si="5"/>
        <v>10642</v>
      </c>
      <c r="T16" s="24">
        <f t="shared" si="12"/>
        <v>7512</v>
      </c>
      <c r="U16" s="24">
        <f>500</f>
        <v>500</v>
      </c>
      <c r="V16" s="24"/>
      <c r="W16" s="24">
        <f t="shared" si="6"/>
        <v>81254</v>
      </c>
      <c r="X16" s="23">
        <f t="shared" si="7"/>
        <v>200</v>
      </c>
      <c r="Y16" s="24"/>
      <c r="Z16" s="26"/>
      <c r="AA16" s="26">
        <f t="shared" si="8"/>
        <v>81054</v>
      </c>
    </row>
    <row r="17" spans="1:28" s="3" customFormat="1" x14ac:dyDescent="0.25">
      <c r="A17" s="7">
        <v>44279</v>
      </c>
      <c r="B17" s="1">
        <v>0.03</v>
      </c>
      <c r="C17" s="10">
        <f t="shared" si="13"/>
        <v>62600</v>
      </c>
      <c r="D17" s="9">
        <f t="shared" si="14"/>
        <v>1878</v>
      </c>
      <c r="E17" s="9">
        <f t="shared" si="9"/>
        <v>7512</v>
      </c>
      <c r="F17" s="9">
        <f>500</f>
        <v>500</v>
      </c>
      <c r="G17" s="9"/>
      <c r="H17" s="9">
        <f t="shared" si="1"/>
        <v>72490</v>
      </c>
      <c r="I17" s="10">
        <f t="shared" si="2"/>
        <v>200</v>
      </c>
      <c r="J17" s="9"/>
      <c r="K17" s="8"/>
      <c r="L17" s="11">
        <f t="shared" si="3"/>
        <v>72290</v>
      </c>
      <c r="M17" s="11"/>
      <c r="N17" s="11">
        <f t="shared" si="4"/>
        <v>8764</v>
      </c>
      <c r="P17" s="7">
        <v>44279</v>
      </c>
      <c r="Q17" s="1">
        <f t="shared" si="10"/>
        <v>0.17</v>
      </c>
      <c r="R17" s="10">
        <f t="shared" si="11"/>
        <v>62600</v>
      </c>
      <c r="S17" s="10">
        <f t="shared" si="5"/>
        <v>10642</v>
      </c>
      <c r="T17" s="9">
        <f t="shared" si="12"/>
        <v>7512</v>
      </c>
      <c r="U17" s="9">
        <f>500</f>
        <v>500</v>
      </c>
      <c r="V17" s="9"/>
      <c r="W17" s="9">
        <f t="shared" si="6"/>
        <v>81254</v>
      </c>
      <c r="X17" s="10">
        <f t="shared" si="7"/>
        <v>200</v>
      </c>
      <c r="Y17" s="9"/>
      <c r="Z17" s="11"/>
      <c r="AA17" s="11">
        <f t="shared" si="8"/>
        <v>81054</v>
      </c>
    </row>
    <row r="18" spans="1:28" s="3" customFormat="1" x14ac:dyDescent="0.25">
      <c r="A18" s="7">
        <v>44310</v>
      </c>
      <c r="B18" s="1">
        <v>0.03</v>
      </c>
      <c r="C18" s="10">
        <f t="shared" si="13"/>
        <v>62600</v>
      </c>
      <c r="D18" s="9">
        <f t="shared" si="14"/>
        <v>1878</v>
      </c>
      <c r="E18" s="9">
        <f t="shared" si="9"/>
        <v>7512</v>
      </c>
      <c r="F18" s="9">
        <f>500</f>
        <v>500</v>
      </c>
      <c r="G18" s="9"/>
      <c r="H18" s="9">
        <f t="shared" si="1"/>
        <v>72490</v>
      </c>
      <c r="I18" s="10">
        <f t="shared" si="2"/>
        <v>200</v>
      </c>
      <c r="J18" s="9"/>
      <c r="K18" s="8"/>
      <c r="L18" s="11">
        <f t="shared" si="3"/>
        <v>72290</v>
      </c>
      <c r="M18" s="11"/>
      <c r="N18" s="11">
        <f t="shared" si="4"/>
        <v>8764</v>
      </c>
      <c r="P18" s="7">
        <v>44310</v>
      </c>
      <c r="Q18" s="1">
        <f t="shared" si="10"/>
        <v>0.17</v>
      </c>
      <c r="R18" s="10">
        <f t="shared" si="11"/>
        <v>62600</v>
      </c>
      <c r="S18" s="10">
        <f t="shared" si="5"/>
        <v>10642</v>
      </c>
      <c r="T18" s="9">
        <f t="shared" si="12"/>
        <v>7512</v>
      </c>
      <c r="U18" s="9">
        <f>500</f>
        <v>500</v>
      </c>
      <c r="V18" s="9"/>
      <c r="W18" s="9">
        <f t="shared" si="6"/>
        <v>81254</v>
      </c>
      <c r="X18" s="10">
        <f t="shared" si="7"/>
        <v>200</v>
      </c>
      <c r="Y18" s="9"/>
      <c r="Z18" s="11"/>
      <c r="AA18" s="11">
        <f t="shared" si="8"/>
        <v>81054</v>
      </c>
    </row>
    <row r="19" spans="1:28" s="3" customFormat="1" x14ac:dyDescent="0.25">
      <c r="A19" s="7">
        <v>44340</v>
      </c>
      <c r="B19" s="1">
        <v>0.03</v>
      </c>
      <c r="C19" s="10">
        <f t="shared" si="13"/>
        <v>62600</v>
      </c>
      <c r="D19" s="9">
        <f t="shared" si="14"/>
        <v>1878</v>
      </c>
      <c r="E19" s="9">
        <f t="shared" si="9"/>
        <v>7512</v>
      </c>
      <c r="F19" s="9">
        <f>500</f>
        <v>500</v>
      </c>
      <c r="G19" s="9"/>
      <c r="H19" s="9">
        <f t="shared" si="1"/>
        <v>72490</v>
      </c>
      <c r="I19" s="10">
        <f t="shared" si="2"/>
        <v>200</v>
      </c>
      <c r="J19" s="9"/>
      <c r="K19" s="8"/>
      <c r="L19" s="11">
        <f t="shared" si="3"/>
        <v>72290</v>
      </c>
      <c r="M19" s="11"/>
      <c r="N19" s="11">
        <f t="shared" si="4"/>
        <v>8764</v>
      </c>
      <c r="P19" s="7">
        <v>44340</v>
      </c>
      <c r="Q19" s="1">
        <f t="shared" si="10"/>
        <v>0.17</v>
      </c>
      <c r="R19" s="10">
        <f t="shared" si="11"/>
        <v>62600</v>
      </c>
      <c r="S19" s="10">
        <f t="shared" si="5"/>
        <v>10642</v>
      </c>
      <c r="T19" s="9">
        <f t="shared" si="12"/>
        <v>7512</v>
      </c>
      <c r="U19" s="9">
        <f>500</f>
        <v>500</v>
      </c>
      <c r="V19" s="9"/>
      <c r="W19" s="9">
        <f t="shared" si="6"/>
        <v>81254</v>
      </c>
      <c r="X19" s="10">
        <f t="shared" si="7"/>
        <v>200</v>
      </c>
      <c r="Y19" s="9"/>
      <c r="Z19" s="11"/>
      <c r="AA19" s="11">
        <f t="shared" si="8"/>
        <v>81054</v>
      </c>
    </row>
    <row r="20" spans="1:28" s="3" customFormat="1" x14ac:dyDescent="0.25">
      <c r="A20" s="7">
        <v>44371</v>
      </c>
      <c r="B20" s="1">
        <v>0.03</v>
      </c>
      <c r="C20" s="10">
        <f t="shared" si="13"/>
        <v>62600</v>
      </c>
      <c r="D20" s="9">
        <f t="shared" si="14"/>
        <v>1878</v>
      </c>
      <c r="E20" s="9">
        <f t="shared" si="9"/>
        <v>7512</v>
      </c>
      <c r="F20" s="9">
        <f>500</f>
        <v>500</v>
      </c>
      <c r="G20" s="9"/>
      <c r="H20" s="9">
        <f t="shared" si="1"/>
        <v>72490</v>
      </c>
      <c r="I20" s="10">
        <f t="shared" si="2"/>
        <v>200</v>
      </c>
      <c r="J20" s="9"/>
      <c r="K20" s="8"/>
      <c r="L20" s="11">
        <f t="shared" si="3"/>
        <v>72290</v>
      </c>
      <c r="M20" s="11"/>
      <c r="N20" s="11">
        <f t="shared" si="4"/>
        <v>8764</v>
      </c>
      <c r="P20" s="7">
        <v>44371</v>
      </c>
      <c r="Q20" s="1">
        <f t="shared" si="10"/>
        <v>0.17</v>
      </c>
      <c r="R20" s="10">
        <f t="shared" si="11"/>
        <v>62600</v>
      </c>
      <c r="S20" s="10">
        <f t="shared" si="5"/>
        <v>10642</v>
      </c>
      <c r="T20" s="9">
        <f t="shared" si="12"/>
        <v>7512</v>
      </c>
      <c r="U20" s="9">
        <f>500</f>
        <v>500</v>
      </c>
      <c r="V20" s="9"/>
      <c r="W20" s="9">
        <f t="shared" si="6"/>
        <v>81254</v>
      </c>
      <c r="X20" s="10">
        <f t="shared" si="7"/>
        <v>200</v>
      </c>
      <c r="Y20" s="9"/>
      <c r="Z20" s="11"/>
      <c r="AA20" s="11">
        <f t="shared" si="8"/>
        <v>81054</v>
      </c>
    </row>
    <row r="21" spans="1:28" s="3" customFormat="1" x14ac:dyDescent="0.25">
      <c r="A21" s="7">
        <v>44401</v>
      </c>
      <c r="B21" s="1">
        <v>0.03</v>
      </c>
      <c r="C21" s="10">
        <f>C9+IF(MOD(C9*0.03,100)&gt;50,C9*0.03-MOD(C9*0.03,100)+100,C9*0.03-MOD(C9*0.03,100))</f>
        <v>64500</v>
      </c>
      <c r="D21" s="9">
        <f t="shared" si="14"/>
        <v>1935</v>
      </c>
      <c r="E21" s="9">
        <f t="shared" si="9"/>
        <v>7740</v>
      </c>
      <c r="F21" s="9">
        <f>500</f>
        <v>500</v>
      </c>
      <c r="G21" s="9"/>
      <c r="H21" s="9">
        <f t="shared" si="1"/>
        <v>74675</v>
      </c>
      <c r="I21" s="10">
        <f t="shared" si="2"/>
        <v>200</v>
      </c>
      <c r="J21" s="9"/>
      <c r="K21" s="8"/>
      <c r="L21" s="11">
        <f t="shared" si="3"/>
        <v>74475</v>
      </c>
      <c r="M21" s="11"/>
      <c r="N21" s="11">
        <f t="shared" si="4"/>
        <v>18060</v>
      </c>
      <c r="P21" s="7">
        <v>44401</v>
      </c>
      <c r="Q21" s="1">
        <v>0.31</v>
      </c>
      <c r="R21" s="10">
        <f t="shared" si="11"/>
        <v>64500</v>
      </c>
      <c r="S21" s="10">
        <f t="shared" si="5"/>
        <v>19995</v>
      </c>
      <c r="T21" s="9">
        <f t="shared" si="12"/>
        <v>7740</v>
      </c>
      <c r="U21" s="9">
        <f>500</f>
        <v>500</v>
      </c>
      <c r="V21" s="9"/>
      <c r="W21" s="9">
        <f t="shared" si="6"/>
        <v>92735</v>
      </c>
      <c r="X21" s="10">
        <f t="shared" si="7"/>
        <v>200</v>
      </c>
      <c r="Y21" s="9"/>
      <c r="Z21" s="11"/>
      <c r="AA21" s="11">
        <f t="shared" si="8"/>
        <v>92535</v>
      </c>
    </row>
    <row r="22" spans="1:28" s="3" customFormat="1" x14ac:dyDescent="0.25">
      <c r="A22" s="7">
        <v>44432</v>
      </c>
      <c r="B22" s="1">
        <v>0.03</v>
      </c>
      <c r="C22" s="10">
        <f t="shared" ref="C22:C32" si="15">C21</f>
        <v>64500</v>
      </c>
      <c r="D22" s="9">
        <f t="shared" si="14"/>
        <v>1935</v>
      </c>
      <c r="E22" s="9">
        <f t="shared" si="9"/>
        <v>7740</v>
      </c>
      <c r="F22" s="9">
        <f>500</f>
        <v>500</v>
      </c>
      <c r="G22" s="9"/>
      <c r="H22" s="9">
        <f t="shared" si="1"/>
        <v>74675</v>
      </c>
      <c r="I22" s="10">
        <f t="shared" si="2"/>
        <v>200</v>
      </c>
      <c r="J22" s="9"/>
      <c r="K22" s="8"/>
      <c r="L22" s="11">
        <f t="shared" si="3"/>
        <v>74475</v>
      </c>
      <c r="M22" s="11"/>
      <c r="N22" s="11">
        <f t="shared" si="4"/>
        <v>18060</v>
      </c>
      <c r="P22" s="7">
        <v>44432</v>
      </c>
      <c r="Q22" s="1">
        <f>Q21</f>
        <v>0.31</v>
      </c>
      <c r="R22" s="10">
        <f t="shared" si="11"/>
        <v>64500</v>
      </c>
      <c r="S22" s="10">
        <f t="shared" si="5"/>
        <v>19995</v>
      </c>
      <c r="T22" s="9">
        <f t="shared" si="12"/>
        <v>7740</v>
      </c>
      <c r="U22" s="9">
        <f>500</f>
        <v>500</v>
      </c>
      <c r="V22" s="9"/>
      <c r="W22" s="9">
        <f t="shared" si="6"/>
        <v>92735</v>
      </c>
      <c r="X22" s="10">
        <f t="shared" si="7"/>
        <v>200</v>
      </c>
      <c r="Y22" s="9"/>
      <c r="Z22" s="11"/>
      <c r="AA22" s="11">
        <f t="shared" si="8"/>
        <v>92535</v>
      </c>
    </row>
    <row r="23" spans="1:28" s="3" customFormat="1" x14ac:dyDescent="0.25">
      <c r="A23" s="7">
        <v>44463</v>
      </c>
      <c r="B23" s="1">
        <v>0.03</v>
      </c>
      <c r="C23" s="10">
        <f t="shared" si="15"/>
        <v>64500</v>
      </c>
      <c r="D23" s="9">
        <f t="shared" si="14"/>
        <v>1935</v>
      </c>
      <c r="E23" s="9">
        <f t="shared" si="9"/>
        <v>7740</v>
      </c>
      <c r="F23" s="9">
        <f>500</f>
        <v>500</v>
      </c>
      <c r="G23" s="9"/>
      <c r="H23" s="9">
        <f t="shared" si="1"/>
        <v>74675</v>
      </c>
      <c r="I23" s="10">
        <f t="shared" si="2"/>
        <v>200</v>
      </c>
      <c r="J23" s="9"/>
      <c r="K23" s="8"/>
      <c r="L23" s="11">
        <f t="shared" si="3"/>
        <v>74475</v>
      </c>
      <c r="M23" s="11"/>
      <c r="N23" s="11">
        <f t="shared" si="4"/>
        <v>18060</v>
      </c>
      <c r="P23" s="7">
        <v>44463</v>
      </c>
      <c r="Q23" s="1">
        <f>Q22</f>
        <v>0.31</v>
      </c>
      <c r="R23" s="10">
        <f t="shared" si="11"/>
        <v>64500</v>
      </c>
      <c r="S23" s="10">
        <f t="shared" si="5"/>
        <v>19995</v>
      </c>
      <c r="T23" s="9">
        <f t="shared" si="12"/>
        <v>7740</v>
      </c>
      <c r="U23" s="9">
        <f>500</f>
        <v>500</v>
      </c>
      <c r="V23" s="9"/>
      <c r="W23" s="9">
        <f t="shared" si="6"/>
        <v>92735</v>
      </c>
      <c r="X23" s="10">
        <f t="shared" si="7"/>
        <v>200</v>
      </c>
      <c r="Y23" s="9"/>
      <c r="Z23" s="11"/>
      <c r="AA23" s="11">
        <f t="shared" si="8"/>
        <v>92535</v>
      </c>
    </row>
    <row r="24" spans="1:28" s="3" customFormat="1" x14ac:dyDescent="0.25">
      <c r="A24" s="7">
        <v>44493</v>
      </c>
      <c r="B24" s="1">
        <v>0.03</v>
      </c>
      <c r="C24" s="10">
        <f t="shared" si="15"/>
        <v>64500</v>
      </c>
      <c r="D24" s="9">
        <f t="shared" si="14"/>
        <v>1935</v>
      </c>
      <c r="E24" s="9">
        <f t="shared" si="9"/>
        <v>7740</v>
      </c>
      <c r="F24" s="9">
        <f>500</f>
        <v>500</v>
      </c>
      <c r="G24" s="9"/>
      <c r="H24" s="9">
        <f t="shared" si="1"/>
        <v>74675</v>
      </c>
      <c r="I24" s="10">
        <f t="shared" si="2"/>
        <v>200</v>
      </c>
      <c r="J24" s="9"/>
      <c r="K24" s="8"/>
      <c r="L24" s="11">
        <f t="shared" si="3"/>
        <v>74475</v>
      </c>
      <c r="M24" s="11"/>
      <c r="N24" s="11">
        <f t="shared" si="4"/>
        <v>18060</v>
      </c>
      <c r="P24" s="7">
        <v>44493</v>
      </c>
      <c r="Q24" s="1">
        <f>Q23</f>
        <v>0.31</v>
      </c>
      <c r="R24" s="10">
        <f t="shared" si="11"/>
        <v>64500</v>
      </c>
      <c r="S24" s="10">
        <f t="shared" si="5"/>
        <v>19995</v>
      </c>
      <c r="T24" s="9">
        <f t="shared" si="12"/>
        <v>7740</v>
      </c>
      <c r="U24" s="9">
        <f>500</f>
        <v>500</v>
      </c>
      <c r="V24" s="9"/>
      <c r="W24" s="9">
        <f t="shared" si="6"/>
        <v>92735</v>
      </c>
      <c r="X24" s="10">
        <f t="shared" si="7"/>
        <v>200</v>
      </c>
      <c r="Y24" s="9"/>
      <c r="Z24" s="11"/>
      <c r="AA24" s="11">
        <f t="shared" si="8"/>
        <v>92535</v>
      </c>
    </row>
    <row r="25" spans="1:28" s="3" customFormat="1" x14ac:dyDescent="0.25">
      <c r="A25" s="7">
        <v>44524</v>
      </c>
      <c r="B25" s="1">
        <v>0.03</v>
      </c>
      <c r="C25" s="10">
        <f t="shared" si="15"/>
        <v>64500</v>
      </c>
      <c r="D25" s="9">
        <f t="shared" si="14"/>
        <v>1935</v>
      </c>
      <c r="E25" s="9">
        <f t="shared" si="9"/>
        <v>7740</v>
      </c>
      <c r="F25" s="9">
        <f>500</f>
        <v>500</v>
      </c>
      <c r="G25" s="9"/>
      <c r="H25" s="9">
        <f t="shared" si="1"/>
        <v>74675</v>
      </c>
      <c r="I25" s="10">
        <f t="shared" si="2"/>
        <v>200</v>
      </c>
      <c r="J25" s="9"/>
      <c r="K25" s="8"/>
      <c r="L25" s="11">
        <f t="shared" si="3"/>
        <v>74475</v>
      </c>
      <c r="M25" s="11"/>
      <c r="N25" s="11">
        <f t="shared" si="4"/>
        <v>18060</v>
      </c>
      <c r="P25" s="7">
        <v>44524</v>
      </c>
      <c r="Q25" s="1">
        <f>Q24</f>
        <v>0.31</v>
      </c>
      <c r="R25" s="10">
        <f t="shared" si="11"/>
        <v>64500</v>
      </c>
      <c r="S25" s="10">
        <f t="shared" si="5"/>
        <v>19995</v>
      </c>
      <c r="T25" s="9">
        <f t="shared" si="12"/>
        <v>7740</v>
      </c>
      <c r="U25" s="9">
        <f>500</f>
        <v>500</v>
      </c>
      <c r="V25" s="9"/>
      <c r="W25" s="9">
        <f t="shared" si="6"/>
        <v>92735</v>
      </c>
      <c r="X25" s="10">
        <f t="shared" si="7"/>
        <v>200</v>
      </c>
      <c r="Y25" s="9"/>
      <c r="Z25" s="11"/>
      <c r="AA25" s="11">
        <f t="shared" si="8"/>
        <v>92535</v>
      </c>
    </row>
    <row r="26" spans="1:28" s="3" customFormat="1" x14ac:dyDescent="0.25">
      <c r="A26" s="7">
        <v>44554</v>
      </c>
      <c r="B26" s="1">
        <v>0.03</v>
      </c>
      <c r="C26" s="10">
        <f t="shared" si="15"/>
        <v>64500</v>
      </c>
      <c r="D26" s="9">
        <f t="shared" si="14"/>
        <v>1935</v>
      </c>
      <c r="E26" s="9">
        <f t="shared" si="9"/>
        <v>7740</v>
      </c>
      <c r="F26" s="9">
        <f>500</f>
        <v>500</v>
      </c>
      <c r="G26" s="9"/>
      <c r="H26" s="9">
        <f t="shared" si="1"/>
        <v>74675</v>
      </c>
      <c r="I26" s="10">
        <f t="shared" si="2"/>
        <v>200</v>
      </c>
      <c r="J26" s="9"/>
      <c r="K26" s="8"/>
      <c r="L26" s="11">
        <f t="shared" si="3"/>
        <v>74475</v>
      </c>
      <c r="M26" s="11"/>
      <c r="N26" s="11">
        <f t="shared" si="4"/>
        <v>18060</v>
      </c>
      <c r="P26" s="7">
        <v>44554</v>
      </c>
      <c r="Q26" s="1">
        <f>Q25</f>
        <v>0.31</v>
      </c>
      <c r="R26" s="10">
        <f t="shared" si="11"/>
        <v>64500</v>
      </c>
      <c r="S26" s="10">
        <f t="shared" si="5"/>
        <v>19995</v>
      </c>
      <c r="T26" s="9">
        <f t="shared" si="12"/>
        <v>7740</v>
      </c>
      <c r="U26" s="9">
        <f>500</f>
        <v>500</v>
      </c>
      <c r="V26" s="9"/>
      <c r="W26" s="9">
        <f t="shared" si="6"/>
        <v>92735</v>
      </c>
      <c r="X26" s="10">
        <f t="shared" si="7"/>
        <v>200</v>
      </c>
      <c r="Y26" s="9"/>
      <c r="Z26" s="11"/>
      <c r="AA26" s="11">
        <f t="shared" si="8"/>
        <v>92535</v>
      </c>
    </row>
    <row r="27" spans="1:28" s="3" customFormat="1" x14ac:dyDescent="0.25">
      <c r="A27" s="7">
        <v>44585</v>
      </c>
      <c r="B27" s="1">
        <v>0.03</v>
      </c>
      <c r="C27" s="10">
        <f t="shared" si="15"/>
        <v>64500</v>
      </c>
      <c r="D27" s="9">
        <f t="shared" si="14"/>
        <v>1935</v>
      </c>
      <c r="E27" s="9">
        <f t="shared" si="9"/>
        <v>7740</v>
      </c>
      <c r="F27" s="9">
        <f>500</f>
        <v>500</v>
      </c>
      <c r="G27" s="9"/>
      <c r="H27" s="9">
        <f t="shared" si="1"/>
        <v>74675</v>
      </c>
      <c r="I27" s="10">
        <f t="shared" si="2"/>
        <v>200</v>
      </c>
      <c r="J27" s="9"/>
      <c r="K27" s="8"/>
      <c r="L27" s="11">
        <f t="shared" si="3"/>
        <v>74475</v>
      </c>
      <c r="M27" s="11"/>
      <c r="N27" s="11">
        <f t="shared" si="4"/>
        <v>19995</v>
      </c>
      <c r="P27" s="7">
        <v>44585</v>
      </c>
      <c r="Q27" s="1">
        <v>0.34</v>
      </c>
      <c r="R27" s="10">
        <f t="shared" si="11"/>
        <v>64500</v>
      </c>
      <c r="S27" s="10">
        <f t="shared" si="5"/>
        <v>21930</v>
      </c>
      <c r="T27" s="9">
        <f t="shared" si="12"/>
        <v>7740</v>
      </c>
      <c r="U27" s="9">
        <f>500</f>
        <v>500</v>
      </c>
      <c r="V27" s="9"/>
      <c r="W27" s="9">
        <f t="shared" si="6"/>
        <v>94670</v>
      </c>
      <c r="X27" s="10">
        <f t="shared" si="7"/>
        <v>200</v>
      </c>
      <c r="Y27" s="9"/>
      <c r="Z27" s="11"/>
      <c r="AA27" s="11">
        <f t="shared" si="8"/>
        <v>94470</v>
      </c>
    </row>
    <row r="28" spans="1:28" s="21" customFormat="1" x14ac:dyDescent="0.25">
      <c r="A28" s="17">
        <v>44616</v>
      </c>
      <c r="B28" s="1">
        <v>0.03</v>
      </c>
      <c r="C28" s="18">
        <f t="shared" si="15"/>
        <v>64500</v>
      </c>
      <c r="D28" s="19">
        <f t="shared" si="14"/>
        <v>1935</v>
      </c>
      <c r="E28" s="19">
        <f t="shared" si="9"/>
        <v>7740</v>
      </c>
      <c r="F28" s="19">
        <f>500</f>
        <v>500</v>
      </c>
      <c r="G28" s="19"/>
      <c r="H28" s="19">
        <f t="shared" si="1"/>
        <v>74675</v>
      </c>
      <c r="I28" s="18">
        <f t="shared" si="2"/>
        <v>200</v>
      </c>
      <c r="J28" s="19"/>
      <c r="K28" s="20"/>
      <c r="L28" s="12">
        <f t="shared" si="3"/>
        <v>74475</v>
      </c>
      <c r="M28" s="12"/>
      <c r="N28" s="11">
        <f t="shared" si="4"/>
        <v>19995</v>
      </c>
      <c r="P28" s="17">
        <v>44616</v>
      </c>
      <c r="Q28" s="1">
        <f>Q27</f>
        <v>0.34</v>
      </c>
      <c r="R28" s="18">
        <f t="shared" si="11"/>
        <v>64500</v>
      </c>
      <c r="S28" s="18">
        <f t="shared" si="5"/>
        <v>21930</v>
      </c>
      <c r="T28" s="19">
        <f t="shared" si="12"/>
        <v>7740</v>
      </c>
      <c r="U28" s="19">
        <f>500</f>
        <v>500</v>
      </c>
      <c r="V28" s="19"/>
      <c r="W28" s="19">
        <f t="shared" si="6"/>
        <v>94670</v>
      </c>
      <c r="X28" s="18">
        <f t="shared" si="7"/>
        <v>200</v>
      </c>
      <c r="Y28" s="19"/>
      <c r="Z28" s="12"/>
      <c r="AA28" s="12">
        <f t="shared" si="8"/>
        <v>94470</v>
      </c>
    </row>
    <row r="29" spans="1:28" s="3" customFormat="1" x14ac:dyDescent="0.25">
      <c r="A29" s="7">
        <v>44644</v>
      </c>
      <c r="B29" s="1">
        <v>0.03</v>
      </c>
      <c r="C29" s="10">
        <f t="shared" si="15"/>
        <v>64500</v>
      </c>
      <c r="D29" s="9">
        <f t="shared" si="14"/>
        <v>1935</v>
      </c>
      <c r="E29" s="9">
        <f t="shared" si="9"/>
        <v>7740</v>
      </c>
      <c r="F29" s="9">
        <f>500</f>
        <v>500</v>
      </c>
      <c r="G29" s="9"/>
      <c r="H29" s="9">
        <f t="shared" si="1"/>
        <v>74675</v>
      </c>
      <c r="I29" s="10">
        <f t="shared" si="2"/>
        <v>200</v>
      </c>
      <c r="J29" s="9"/>
      <c r="K29" s="8"/>
      <c r="L29" s="11">
        <f t="shared" si="3"/>
        <v>74475</v>
      </c>
      <c r="M29" s="11"/>
      <c r="N29" s="11">
        <f t="shared" si="4"/>
        <v>19995</v>
      </c>
      <c r="P29" s="7">
        <v>44644</v>
      </c>
      <c r="Q29" s="1">
        <f>Q28</f>
        <v>0.34</v>
      </c>
      <c r="R29" s="10">
        <f t="shared" si="11"/>
        <v>64500</v>
      </c>
      <c r="S29" s="10">
        <f t="shared" si="5"/>
        <v>21930</v>
      </c>
      <c r="T29" s="9">
        <f t="shared" si="12"/>
        <v>7740</v>
      </c>
      <c r="U29" s="9">
        <f>500</f>
        <v>500</v>
      </c>
      <c r="V29" s="9"/>
      <c r="W29" s="9">
        <f t="shared" si="6"/>
        <v>94670</v>
      </c>
      <c r="X29" s="10">
        <f t="shared" si="7"/>
        <v>200</v>
      </c>
      <c r="Y29" s="9"/>
      <c r="Z29" s="11"/>
      <c r="AA29" s="11">
        <f t="shared" si="8"/>
        <v>94470</v>
      </c>
    </row>
    <row r="30" spans="1:28" s="3" customFormat="1" x14ac:dyDescent="0.25">
      <c r="A30" s="7">
        <v>44675</v>
      </c>
      <c r="B30" s="1">
        <v>0.03</v>
      </c>
      <c r="C30" s="10">
        <f t="shared" si="15"/>
        <v>64500</v>
      </c>
      <c r="D30" s="9">
        <f t="shared" si="14"/>
        <v>1935</v>
      </c>
      <c r="E30" s="9">
        <f t="shared" si="9"/>
        <v>7740</v>
      </c>
      <c r="F30" s="9">
        <f>500</f>
        <v>500</v>
      </c>
      <c r="G30" s="9"/>
      <c r="H30" s="9">
        <f t="shared" si="1"/>
        <v>74675</v>
      </c>
      <c r="I30" s="10">
        <f t="shared" si="2"/>
        <v>200</v>
      </c>
      <c r="J30" s="9"/>
      <c r="K30" s="8"/>
      <c r="L30" s="11">
        <f t="shared" si="3"/>
        <v>74475</v>
      </c>
      <c r="M30" s="11"/>
      <c r="N30" s="11">
        <f t="shared" si="4"/>
        <v>19995</v>
      </c>
      <c r="P30" s="7">
        <v>44675</v>
      </c>
      <c r="Q30" s="1">
        <f>Q29</f>
        <v>0.34</v>
      </c>
      <c r="R30" s="10">
        <f t="shared" si="11"/>
        <v>64500</v>
      </c>
      <c r="S30" s="10">
        <f t="shared" si="5"/>
        <v>21930</v>
      </c>
      <c r="T30" s="9">
        <f t="shared" si="12"/>
        <v>7740</v>
      </c>
      <c r="U30" s="9">
        <f>500</f>
        <v>500</v>
      </c>
      <c r="V30" s="9"/>
      <c r="W30" s="9">
        <f t="shared" si="6"/>
        <v>94670</v>
      </c>
      <c r="X30" s="10">
        <f t="shared" si="7"/>
        <v>200</v>
      </c>
      <c r="Y30" s="9"/>
      <c r="Z30" s="11"/>
      <c r="AA30" s="11">
        <f t="shared" si="8"/>
        <v>94470</v>
      </c>
    </row>
    <row r="31" spans="1:28" s="3" customFormat="1" x14ac:dyDescent="0.25">
      <c r="A31" s="7">
        <v>44705</v>
      </c>
      <c r="B31" s="1">
        <v>0.03</v>
      </c>
      <c r="C31" s="10">
        <f t="shared" si="15"/>
        <v>64500</v>
      </c>
      <c r="D31" s="9">
        <f t="shared" si="14"/>
        <v>1935</v>
      </c>
      <c r="E31" s="9">
        <f t="shared" si="9"/>
        <v>7740</v>
      </c>
      <c r="F31" s="9">
        <f>500</f>
        <v>500</v>
      </c>
      <c r="G31" s="9"/>
      <c r="H31" s="9">
        <f t="shared" si="1"/>
        <v>74675</v>
      </c>
      <c r="I31" s="10">
        <f t="shared" si="2"/>
        <v>200</v>
      </c>
      <c r="J31" s="9"/>
      <c r="K31" s="8"/>
      <c r="L31" s="11">
        <f t="shared" si="3"/>
        <v>74475</v>
      </c>
      <c r="M31" s="11"/>
      <c r="N31" s="11">
        <f t="shared" si="4"/>
        <v>19995</v>
      </c>
      <c r="P31" s="7">
        <v>44705</v>
      </c>
      <c r="Q31" s="1">
        <f>Q30</f>
        <v>0.34</v>
      </c>
      <c r="R31" s="10">
        <f t="shared" si="11"/>
        <v>64500</v>
      </c>
      <c r="S31" s="10">
        <f t="shared" si="5"/>
        <v>21930</v>
      </c>
      <c r="T31" s="9">
        <f t="shared" si="12"/>
        <v>7740</v>
      </c>
      <c r="U31" s="9">
        <f>500</f>
        <v>500</v>
      </c>
      <c r="V31" s="9"/>
      <c r="W31" s="9">
        <f t="shared" si="6"/>
        <v>94670</v>
      </c>
      <c r="X31" s="10">
        <f t="shared" si="7"/>
        <v>200</v>
      </c>
      <c r="Y31" s="9"/>
      <c r="Z31" s="8"/>
      <c r="AA31" s="11">
        <f t="shared" si="8"/>
        <v>94470</v>
      </c>
    </row>
    <row r="32" spans="1:28" s="3" customFormat="1" x14ac:dyDescent="0.25">
      <c r="A32" s="7">
        <v>44736</v>
      </c>
      <c r="B32" s="1">
        <v>0.03</v>
      </c>
      <c r="C32" s="10">
        <f t="shared" si="15"/>
        <v>64500</v>
      </c>
      <c r="D32" s="9">
        <f t="shared" si="14"/>
        <v>1935</v>
      </c>
      <c r="E32" s="9">
        <f t="shared" si="9"/>
        <v>7740</v>
      </c>
      <c r="F32" s="9">
        <f>500</f>
        <v>500</v>
      </c>
      <c r="G32" s="9"/>
      <c r="H32" s="9">
        <f t="shared" si="1"/>
        <v>74675</v>
      </c>
      <c r="I32" s="10">
        <f t="shared" si="2"/>
        <v>200</v>
      </c>
      <c r="J32" s="9"/>
      <c r="K32" s="8"/>
      <c r="L32" s="11">
        <f t="shared" si="3"/>
        <v>74475</v>
      </c>
      <c r="M32" s="11"/>
      <c r="N32" s="11">
        <f t="shared" si="4"/>
        <v>19995</v>
      </c>
      <c r="P32" s="28">
        <v>44736</v>
      </c>
      <c r="Q32" s="1">
        <f>Q31</f>
        <v>0.34</v>
      </c>
      <c r="R32" s="13">
        <f t="shared" si="11"/>
        <v>64500</v>
      </c>
      <c r="S32" s="13">
        <f t="shared" si="5"/>
        <v>21930</v>
      </c>
      <c r="T32" s="9">
        <f t="shared" si="12"/>
        <v>7740</v>
      </c>
      <c r="U32" s="14">
        <f>500</f>
        <v>500</v>
      </c>
      <c r="V32" s="14"/>
      <c r="W32" s="14">
        <f t="shared" si="6"/>
        <v>94670</v>
      </c>
      <c r="X32" s="13">
        <f t="shared" si="7"/>
        <v>200</v>
      </c>
      <c r="Y32" s="14"/>
      <c r="Z32" s="15"/>
      <c r="AA32" s="16">
        <f t="shared" si="8"/>
        <v>94470</v>
      </c>
      <c r="AB32" s="35" t="s">
        <v>12</v>
      </c>
    </row>
    <row r="33" spans="1:27" s="3" customFormat="1" x14ac:dyDescent="0.25">
      <c r="A33" s="7">
        <v>44766</v>
      </c>
      <c r="B33" s="1">
        <v>0.03</v>
      </c>
      <c r="C33" s="10">
        <f>C21+IF(MOD(C21*0.03,100)&gt;50,C21*0.03-MOD(C21*0.03,100)+100,C21*0.03-MOD(C21*0.03,100))</f>
        <v>66400</v>
      </c>
      <c r="D33" s="9">
        <f t="shared" si="14"/>
        <v>1992</v>
      </c>
      <c r="E33" s="9">
        <f t="shared" si="9"/>
        <v>7968</v>
      </c>
      <c r="F33" s="9">
        <f>500</f>
        <v>500</v>
      </c>
      <c r="G33" s="9"/>
      <c r="H33" s="9">
        <f t="shared" si="1"/>
        <v>76860</v>
      </c>
      <c r="I33" s="10">
        <f t="shared" si="2"/>
        <v>200</v>
      </c>
      <c r="J33" s="9"/>
      <c r="K33" s="8"/>
      <c r="L33" s="11">
        <f t="shared" si="3"/>
        <v>76660</v>
      </c>
      <c r="M33" s="11"/>
      <c r="N33" s="11">
        <f t="shared" si="4"/>
        <v>23240</v>
      </c>
      <c r="P33" s="7">
        <v>44766</v>
      </c>
      <c r="Q33" s="1">
        <v>0.38</v>
      </c>
      <c r="R33" s="10">
        <f t="shared" si="11"/>
        <v>66400</v>
      </c>
      <c r="S33" s="10">
        <f t="shared" si="5"/>
        <v>25232</v>
      </c>
      <c r="T33" s="9">
        <f t="shared" si="12"/>
        <v>7968</v>
      </c>
      <c r="U33" s="9">
        <f>500</f>
        <v>500</v>
      </c>
      <c r="V33" s="9"/>
      <c r="W33" s="9">
        <f t="shared" si="6"/>
        <v>100100</v>
      </c>
      <c r="X33" s="10">
        <f t="shared" si="7"/>
        <v>200</v>
      </c>
      <c r="Y33" s="9"/>
      <c r="Z33" s="8"/>
      <c r="AA33" s="11">
        <f t="shared" si="8"/>
        <v>99900</v>
      </c>
    </row>
    <row r="34" spans="1:27" s="3" customFormat="1" x14ac:dyDescent="0.25">
      <c r="A34" s="7">
        <v>44797</v>
      </c>
      <c r="B34" s="1">
        <v>0.03</v>
      </c>
      <c r="C34" s="10">
        <f t="shared" ref="C34:C44" si="16">C33</f>
        <v>66400</v>
      </c>
      <c r="D34" s="9">
        <f t="shared" si="14"/>
        <v>1992</v>
      </c>
      <c r="E34" s="9">
        <f t="shared" si="9"/>
        <v>7968</v>
      </c>
      <c r="F34" s="9">
        <f>500</f>
        <v>500</v>
      </c>
      <c r="G34" s="9"/>
      <c r="H34" s="9">
        <f t="shared" si="1"/>
        <v>76860</v>
      </c>
      <c r="I34" s="10">
        <f t="shared" si="2"/>
        <v>200</v>
      </c>
      <c r="J34" s="9"/>
      <c r="K34" s="8"/>
      <c r="L34" s="11">
        <f t="shared" si="3"/>
        <v>76660</v>
      </c>
      <c r="M34" s="11"/>
      <c r="N34" s="11">
        <f t="shared" si="4"/>
        <v>23240</v>
      </c>
      <c r="P34" s="7">
        <v>44797</v>
      </c>
      <c r="Q34" s="1">
        <f>Q33</f>
        <v>0.38</v>
      </c>
      <c r="R34" s="10">
        <f t="shared" si="11"/>
        <v>66400</v>
      </c>
      <c r="S34" s="10">
        <f t="shared" si="5"/>
        <v>25232</v>
      </c>
      <c r="T34" s="9">
        <f t="shared" si="12"/>
        <v>7968</v>
      </c>
      <c r="U34" s="9">
        <f>500</f>
        <v>500</v>
      </c>
      <c r="V34" s="9"/>
      <c r="W34" s="9">
        <f t="shared" si="6"/>
        <v>100100</v>
      </c>
      <c r="X34" s="10">
        <f t="shared" si="7"/>
        <v>200</v>
      </c>
      <c r="Y34" s="9"/>
      <c r="Z34" s="8"/>
      <c r="AA34" s="11">
        <f t="shared" si="8"/>
        <v>99900</v>
      </c>
    </row>
    <row r="35" spans="1:27" s="3" customFormat="1" x14ac:dyDescent="0.25">
      <c r="A35" s="7">
        <v>44828</v>
      </c>
      <c r="B35" s="1">
        <v>0.03</v>
      </c>
      <c r="C35" s="10">
        <f t="shared" si="16"/>
        <v>66400</v>
      </c>
      <c r="D35" s="9">
        <f t="shared" si="14"/>
        <v>1992</v>
      </c>
      <c r="E35" s="9">
        <f t="shared" si="9"/>
        <v>7968</v>
      </c>
      <c r="F35" s="9">
        <f>500</f>
        <v>500</v>
      </c>
      <c r="G35" s="9"/>
      <c r="H35" s="9">
        <f t="shared" ref="H35:H66" si="17">SUM(C35:F35)</f>
        <v>76860</v>
      </c>
      <c r="I35" s="10">
        <f t="shared" ref="I35:I66" si="18">IF(H35&gt;40000,200,IF(H35&gt;25000,150,IF(H35&gt;15000,130,IF(H35&gt;9000,110,IF(H35&gt;8000,90,IF(H35&gt;7000,50,IF(H35&gt;6000,45,IF(H35&gt;5000,40,0))))))))</f>
        <v>200</v>
      </c>
      <c r="J35" s="9"/>
      <c r="K35" s="8"/>
      <c r="L35" s="11">
        <f t="shared" ref="L35:L66" si="19">(H35-(I35+J35+K35))</f>
        <v>76660</v>
      </c>
      <c r="M35" s="11"/>
      <c r="N35" s="11">
        <f t="shared" ref="N35:N66" si="20">AA35-L35</f>
        <v>23240</v>
      </c>
      <c r="P35" s="7">
        <v>44828</v>
      </c>
      <c r="Q35" s="1">
        <f>Q34</f>
        <v>0.38</v>
      </c>
      <c r="R35" s="10">
        <f t="shared" si="11"/>
        <v>66400</v>
      </c>
      <c r="S35" s="10">
        <f t="shared" ref="S35:S66" si="21">ROUND(R35*Q35,0)</f>
        <v>25232</v>
      </c>
      <c r="T35" s="9">
        <f t="shared" si="12"/>
        <v>7968</v>
      </c>
      <c r="U35" s="9">
        <f>500</f>
        <v>500</v>
      </c>
      <c r="V35" s="9"/>
      <c r="W35" s="9">
        <f t="shared" ref="W35:W66" si="22">SUM(R35:U35)</f>
        <v>100100</v>
      </c>
      <c r="X35" s="10">
        <f t="shared" ref="X35:X66" si="23">IF(W35&gt;40000,200,IF(W35&gt;25000,150,IF(W35&gt;15000,130,IF(W35&gt;9000,110,IF(W35&gt;8000,90,IF(W35&gt;7000,50,IF(W35&gt;6000,45,IF(W35&gt;5000,40,0))))))))</f>
        <v>200</v>
      </c>
      <c r="Y35" s="9"/>
      <c r="Z35" s="8"/>
      <c r="AA35" s="11">
        <f t="shared" ref="AA35:AA66" si="24">(W35-SUM(X35:Z35))</f>
        <v>99900</v>
      </c>
    </row>
    <row r="36" spans="1:27" s="3" customFormat="1" x14ac:dyDescent="0.25">
      <c r="A36" s="7">
        <v>44858</v>
      </c>
      <c r="B36" s="1">
        <v>0.03</v>
      </c>
      <c r="C36" s="10">
        <f t="shared" si="16"/>
        <v>66400</v>
      </c>
      <c r="D36" s="9">
        <f t="shared" si="14"/>
        <v>1992</v>
      </c>
      <c r="E36" s="9">
        <f t="shared" si="9"/>
        <v>7968</v>
      </c>
      <c r="F36" s="9">
        <f>500</f>
        <v>500</v>
      </c>
      <c r="G36" s="9"/>
      <c r="H36" s="9">
        <f t="shared" si="17"/>
        <v>76860</v>
      </c>
      <c r="I36" s="10">
        <f t="shared" si="18"/>
        <v>200</v>
      </c>
      <c r="J36" s="9"/>
      <c r="K36" s="8"/>
      <c r="L36" s="11">
        <f t="shared" si="19"/>
        <v>76660</v>
      </c>
      <c r="M36" s="11"/>
      <c r="N36" s="11">
        <f t="shared" si="20"/>
        <v>23240</v>
      </c>
      <c r="P36" s="7">
        <v>44858</v>
      </c>
      <c r="Q36" s="1">
        <f>Q35</f>
        <v>0.38</v>
      </c>
      <c r="R36" s="10">
        <f t="shared" si="11"/>
        <v>66400</v>
      </c>
      <c r="S36" s="10">
        <f t="shared" si="21"/>
        <v>25232</v>
      </c>
      <c r="T36" s="9">
        <f t="shared" si="12"/>
        <v>7968</v>
      </c>
      <c r="U36" s="9">
        <f>500</f>
        <v>500</v>
      </c>
      <c r="V36" s="9"/>
      <c r="W36" s="9">
        <f t="shared" si="22"/>
        <v>100100</v>
      </c>
      <c r="X36" s="10">
        <f t="shared" si="23"/>
        <v>200</v>
      </c>
      <c r="Y36" s="9"/>
      <c r="Z36" s="8"/>
      <c r="AA36" s="11">
        <f t="shared" si="24"/>
        <v>99900</v>
      </c>
    </row>
    <row r="37" spans="1:27" s="3" customFormat="1" x14ac:dyDescent="0.25">
      <c r="A37" s="7">
        <v>44889</v>
      </c>
      <c r="B37" s="1">
        <v>0.03</v>
      </c>
      <c r="C37" s="10">
        <f t="shared" si="16"/>
        <v>66400</v>
      </c>
      <c r="D37" s="9">
        <f t="shared" si="14"/>
        <v>1992</v>
      </c>
      <c r="E37" s="9">
        <f t="shared" si="9"/>
        <v>7968</v>
      </c>
      <c r="F37" s="9">
        <f>500</f>
        <v>500</v>
      </c>
      <c r="G37" s="9"/>
      <c r="H37" s="9">
        <f t="shared" si="17"/>
        <v>76860</v>
      </c>
      <c r="I37" s="10">
        <f t="shared" si="18"/>
        <v>200</v>
      </c>
      <c r="J37" s="9"/>
      <c r="K37" s="8"/>
      <c r="L37" s="11">
        <f t="shared" si="19"/>
        <v>76660</v>
      </c>
      <c r="M37" s="11"/>
      <c r="N37" s="11">
        <f t="shared" si="20"/>
        <v>23240</v>
      </c>
      <c r="P37" s="7">
        <v>44889</v>
      </c>
      <c r="Q37" s="1">
        <f>Q36</f>
        <v>0.38</v>
      </c>
      <c r="R37" s="10">
        <f t="shared" si="11"/>
        <v>66400</v>
      </c>
      <c r="S37" s="10">
        <f t="shared" si="21"/>
        <v>25232</v>
      </c>
      <c r="T37" s="9">
        <f t="shared" si="12"/>
        <v>7968</v>
      </c>
      <c r="U37" s="9">
        <f>500</f>
        <v>500</v>
      </c>
      <c r="V37" s="9"/>
      <c r="W37" s="9">
        <f t="shared" si="22"/>
        <v>100100</v>
      </c>
      <c r="X37" s="10">
        <f t="shared" si="23"/>
        <v>200</v>
      </c>
      <c r="Y37" s="9"/>
      <c r="Z37" s="8"/>
      <c r="AA37" s="11">
        <f t="shared" si="24"/>
        <v>99900</v>
      </c>
    </row>
    <row r="38" spans="1:27" s="3" customFormat="1" x14ac:dyDescent="0.25">
      <c r="A38" s="7">
        <v>44919</v>
      </c>
      <c r="B38" s="1">
        <v>0.03</v>
      </c>
      <c r="C38" s="10">
        <f t="shared" si="16"/>
        <v>66400</v>
      </c>
      <c r="D38" s="9">
        <f t="shared" si="14"/>
        <v>1992</v>
      </c>
      <c r="E38" s="9">
        <f t="shared" si="9"/>
        <v>7968</v>
      </c>
      <c r="F38" s="9">
        <f>500</f>
        <v>500</v>
      </c>
      <c r="G38" s="9"/>
      <c r="H38" s="9">
        <f t="shared" si="17"/>
        <v>76860</v>
      </c>
      <c r="I38" s="10">
        <f t="shared" si="18"/>
        <v>200</v>
      </c>
      <c r="J38" s="9"/>
      <c r="K38" s="8"/>
      <c r="L38" s="11">
        <f t="shared" si="19"/>
        <v>76660</v>
      </c>
      <c r="M38" s="11"/>
      <c r="N38" s="11">
        <f t="shared" si="20"/>
        <v>23240</v>
      </c>
      <c r="P38" s="7">
        <v>44919</v>
      </c>
      <c r="Q38" s="1">
        <f>Q37</f>
        <v>0.38</v>
      </c>
      <c r="R38" s="10">
        <f t="shared" si="11"/>
        <v>66400</v>
      </c>
      <c r="S38" s="10">
        <f t="shared" si="21"/>
        <v>25232</v>
      </c>
      <c r="T38" s="9">
        <f t="shared" si="12"/>
        <v>7968</v>
      </c>
      <c r="U38" s="9">
        <f>500</f>
        <v>500</v>
      </c>
      <c r="V38" s="9"/>
      <c r="W38" s="9">
        <f t="shared" si="22"/>
        <v>100100</v>
      </c>
      <c r="X38" s="10">
        <f t="shared" si="23"/>
        <v>200</v>
      </c>
      <c r="Y38" s="9"/>
      <c r="Z38" s="8"/>
      <c r="AA38" s="11">
        <f t="shared" si="24"/>
        <v>99900</v>
      </c>
    </row>
    <row r="39" spans="1:27" s="3" customFormat="1" x14ac:dyDescent="0.25">
      <c r="A39" s="7">
        <v>44950</v>
      </c>
      <c r="B39" s="1">
        <v>0.03</v>
      </c>
      <c r="C39" s="10">
        <f t="shared" si="16"/>
        <v>66400</v>
      </c>
      <c r="D39" s="9">
        <f t="shared" si="14"/>
        <v>1992</v>
      </c>
      <c r="E39" s="9">
        <f t="shared" si="9"/>
        <v>7968</v>
      </c>
      <c r="F39" s="9">
        <f>500</f>
        <v>500</v>
      </c>
      <c r="G39" s="9"/>
      <c r="H39" s="9">
        <f t="shared" si="17"/>
        <v>76860</v>
      </c>
      <c r="I39" s="10">
        <f t="shared" si="18"/>
        <v>200</v>
      </c>
      <c r="J39" s="9"/>
      <c r="K39" s="8"/>
      <c r="L39" s="11">
        <f t="shared" si="19"/>
        <v>76660</v>
      </c>
      <c r="M39" s="11"/>
      <c r="N39" s="11">
        <f t="shared" si="20"/>
        <v>25896</v>
      </c>
      <c r="P39" s="7">
        <v>44950</v>
      </c>
      <c r="Q39" s="1">
        <v>0.42</v>
      </c>
      <c r="R39" s="10">
        <f t="shared" si="11"/>
        <v>66400</v>
      </c>
      <c r="S39" s="10">
        <f t="shared" si="21"/>
        <v>27888</v>
      </c>
      <c r="T39" s="9">
        <f t="shared" si="12"/>
        <v>7968</v>
      </c>
      <c r="U39" s="9">
        <f>500</f>
        <v>500</v>
      </c>
      <c r="V39" s="9"/>
      <c r="W39" s="9">
        <f t="shared" si="22"/>
        <v>102756</v>
      </c>
      <c r="X39" s="10">
        <f t="shared" si="23"/>
        <v>200</v>
      </c>
      <c r="Y39" s="9"/>
      <c r="Z39" s="8"/>
      <c r="AA39" s="11">
        <f t="shared" si="24"/>
        <v>102556</v>
      </c>
    </row>
    <row r="40" spans="1:27" s="21" customFormat="1" x14ac:dyDescent="0.25">
      <c r="A40" s="17">
        <v>44981</v>
      </c>
      <c r="B40" s="1">
        <v>0.03</v>
      </c>
      <c r="C40" s="18">
        <f t="shared" si="16"/>
        <v>66400</v>
      </c>
      <c r="D40" s="19">
        <f t="shared" si="14"/>
        <v>1992</v>
      </c>
      <c r="E40" s="19">
        <f t="shared" si="9"/>
        <v>7968</v>
      </c>
      <c r="F40" s="19">
        <f>500</f>
        <v>500</v>
      </c>
      <c r="G40" s="19"/>
      <c r="H40" s="19">
        <f t="shared" si="17"/>
        <v>76860</v>
      </c>
      <c r="I40" s="18">
        <f t="shared" si="18"/>
        <v>200</v>
      </c>
      <c r="J40" s="19"/>
      <c r="K40" s="20"/>
      <c r="L40" s="12">
        <f t="shared" si="19"/>
        <v>76660</v>
      </c>
      <c r="M40" s="12"/>
      <c r="N40" s="11">
        <f t="shared" si="20"/>
        <v>25896</v>
      </c>
      <c r="P40" s="17">
        <v>44981</v>
      </c>
      <c r="Q40" s="1">
        <f>Q39</f>
        <v>0.42</v>
      </c>
      <c r="R40" s="18">
        <f t="shared" si="11"/>
        <v>66400</v>
      </c>
      <c r="S40" s="18">
        <f t="shared" si="21"/>
        <v>27888</v>
      </c>
      <c r="T40" s="19">
        <f t="shared" si="12"/>
        <v>7968</v>
      </c>
      <c r="U40" s="19">
        <f>500</f>
        <v>500</v>
      </c>
      <c r="V40" s="19"/>
      <c r="W40" s="19">
        <f t="shared" si="22"/>
        <v>102756</v>
      </c>
      <c r="X40" s="18">
        <f t="shared" si="23"/>
        <v>200</v>
      </c>
      <c r="Y40" s="19"/>
      <c r="Z40" s="20"/>
      <c r="AA40" s="12">
        <f t="shared" si="24"/>
        <v>102556</v>
      </c>
    </row>
    <row r="41" spans="1:27" s="3" customFormat="1" x14ac:dyDescent="0.25">
      <c r="A41" s="7">
        <v>45009</v>
      </c>
      <c r="B41" s="1">
        <v>0.06</v>
      </c>
      <c r="C41" s="10">
        <f t="shared" si="16"/>
        <v>66400</v>
      </c>
      <c r="D41" s="36">
        <f t="shared" ref="D41:D50" si="25">ROUND(C41*0.06,0)</f>
        <v>3984</v>
      </c>
      <c r="E41" s="36">
        <f t="shared" si="9"/>
        <v>7968</v>
      </c>
      <c r="F41" s="9">
        <f>500</f>
        <v>500</v>
      </c>
      <c r="G41" s="9"/>
      <c r="H41" s="9">
        <f t="shared" si="17"/>
        <v>78852</v>
      </c>
      <c r="I41" s="10">
        <f t="shared" si="18"/>
        <v>200</v>
      </c>
      <c r="J41" s="9"/>
      <c r="K41" s="8"/>
      <c r="L41" s="11">
        <f t="shared" si="19"/>
        <v>78652</v>
      </c>
      <c r="M41" s="11"/>
      <c r="N41" s="11">
        <f t="shared" si="20"/>
        <v>23904</v>
      </c>
      <c r="P41" s="7">
        <v>45009</v>
      </c>
      <c r="Q41" s="1">
        <f>Q40</f>
        <v>0.42</v>
      </c>
      <c r="R41" s="10">
        <f t="shared" si="11"/>
        <v>66400</v>
      </c>
      <c r="S41" s="10">
        <f t="shared" si="21"/>
        <v>27888</v>
      </c>
      <c r="T41" s="36">
        <f t="shared" si="12"/>
        <v>7968</v>
      </c>
      <c r="U41" s="9">
        <f>500</f>
        <v>500</v>
      </c>
      <c r="V41" s="9"/>
      <c r="W41" s="9">
        <f t="shared" si="22"/>
        <v>102756</v>
      </c>
      <c r="X41" s="10">
        <f t="shared" si="23"/>
        <v>200</v>
      </c>
      <c r="Y41" s="9"/>
      <c r="Z41" s="11"/>
      <c r="AA41" s="11">
        <f t="shared" si="24"/>
        <v>102556</v>
      </c>
    </row>
    <row r="42" spans="1:27" s="3" customFormat="1" x14ac:dyDescent="0.25">
      <c r="A42" s="7">
        <v>45040</v>
      </c>
      <c r="B42" s="1">
        <v>0.06</v>
      </c>
      <c r="C42" s="10">
        <f t="shared" si="16"/>
        <v>66400</v>
      </c>
      <c r="D42" s="9">
        <f t="shared" si="25"/>
        <v>3984</v>
      </c>
      <c r="E42" s="9">
        <f t="shared" si="9"/>
        <v>7968</v>
      </c>
      <c r="F42" s="9">
        <f>500</f>
        <v>500</v>
      </c>
      <c r="G42" s="9"/>
      <c r="H42" s="9">
        <f t="shared" si="17"/>
        <v>78852</v>
      </c>
      <c r="I42" s="10">
        <f t="shared" si="18"/>
        <v>200</v>
      </c>
      <c r="J42" s="9"/>
      <c r="K42" s="8"/>
      <c r="L42" s="11">
        <f t="shared" si="19"/>
        <v>78652</v>
      </c>
      <c r="M42" s="11"/>
      <c r="N42" s="11">
        <f t="shared" si="20"/>
        <v>23904</v>
      </c>
      <c r="P42" s="7">
        <v>45040</v>
      </c>
      <c r="Q42" s="1">
        <f>Q41</f>
        <v>0.42</v>
      </c>
      <c r="R42" s="10">
        <f t="shared" si="11"/>
        <v>66400</v>
      </c>
      <c r="S42" s="10">
        <f t="shared" si="21"/>
        <v>27888</v>
      </c>
      <c r="T42" s="9">
        <f t="shared" si="12"/>
        <v>7968</v>
      </c>
      <c r="U42" s="9">
        <f>500</f>
        <v>500</v>
      </c>
      <c r="V42" s="9"/>
      <c r="W42" s="9">
        <f t="shared" si="22"/>
        <v>102756</v>
      </c>
      <c r="X42" s="10">
        <f t="shared" si="23"/>
        <v>200</v>
      </c>
      <c r="Y42" s="9"/>
      <c r="Z42" s="11"/>
      <c r="AA42" s="11">
        <f t="shared" si="24"/>
        <v>102556</v>
      </c>
    </row>
    <row r="43" spans="1:27" s="3" customFormat="1" x14ac:dyDescent="0.25">
      <c r="A43" s="7">
        <v>45070</v>
      </c>
      <c r="B43" s="1">
        <v>0.06</v>
      </c>
      <c r="C43" s="10">
        <f t="shared" si="16"/>
        <v>66400</v>
      </c>
      <c r="D43" s="9">
        <f t="shared" si="25"/>
        <v>3984</v>
      </c>
      <c r="E43" s="9">
        <f t="shared" si="9"/>
        <v>7968</v>
      </c>
      <c r="F43" s="9">
        <f>500</f>
        <v>500</v>
      </c>
      <c r="G43" s="9"/>
      <c r="H43" s="9">
        <f t="shared" si="17"/>
        <v>78852</v>
      </c>
      <c r="I43" s="10">
        <f t="shared" si="18"/>
        <v>200</v>
      </c>
      <c r="J43" s="9"/>
      <c r="K43" s="8"/>
      <c r="L43" s="11">
        <f t="shared" si="19"/>
        <v>78652</v>
      </c>
      <c r="M43" s="11"/>
      <c r="N43" s="11">
        <f t="shared" si="20"/>
        <v>23904</v>
      </c>
      <c r="P43" s="7">
        <v>45070</v>
      </c>
      <c r="Q43" s="1">
        <f>Q42</f>
        <v>0.42</v>
      </c>
      <c r="R43" s="10">
        <f t="shared" si="11"/>
        <v>66400</v>
      </c>
      <c r="S43" s="10">
        <f t="shared" si="21"/>
        <v>27888</v>
      </c>
      <c r="T43" s="9">
        <f t="shared" si="12"/>
        <v>7968</v>
      </c>
      <c r="U43" s="9">
        <f>500</f>
        <v>500</v>
      </c>
      <c r="V43" s="9"/>
      <c r="W43" s="9">
        <f t="shared" si="22"/>
        <v>102756</v>
      </c>
      <c r="X43" s="10">
        <f t="shared" si="23"/>
        <v>200</v>
      </c>
      <c r="Y43" s="9"/>
      <c r="Z43" s="11"/>
      <c r="AA43" s="11">
        <f t="shared" si="24"/>
        <v>102556</v>
      </c>
    </row>
    <row r="44" spans="1:27" s="3" customFormat="1" x14ac:dyDescent="0.25">
      <c r="A44" s="7">
        <v>45101</v>
      </c>
      <c r="B44" s="1">
        <v>0.06</v>
      </c>
      <c r="C44" s="10">
        <f t="shared" si="16"/>
        <v>66400</v>
      </c>
      <c r="D44" s="9">
        <f t="shared" si="25"/>
        <v>3984</v>
      </c>
      <c r="E44" s="9">
        <f t="shared" si="9"/>
        <v>7968</v>
      </c>
      <c r="F44" s="9">
        <f>500</f>
        <v>500</v>
      </c>
      <c r="G44" s="9"/>
      <c r="H44" s="9">
        <f t="shared" si="17"/>
        <v>78852</v>
      </c>
      <c r="I44" s="10">
        <f t="shared" si="18"/>
        <v>200</v>
      </c>
      <c r="J44" s="9"/>
      <c r="K44" s="8"/>
      <c r="L44" s="11">
        <f t="shared" si="19"/>
        <v>78652</v>
      </c>
      <c r="M44" s="11"/>
      <c r="N44" s="11">
        <f t="shared" si="20"/>
        <v>23904</v>
      </c>
      <c r="P44" s="7">
        <v>45101</v>
      </c>
      <c r="Q44" s="1">
        <f>Q43</f>
        <v>0.42</v>
      </c>
      <c r="R44" s="10">
        <f t="shared" si="11"/>
        <v>66400</v>
      </c>
      <c r="S44" s="10">
        <f t="shared" si="21"/>
        <v>27888</v>
      </c>
      <c r="T44" s="9">
        <f t="shared" si="12"/>
        <v>7968</v>
      </c>
      <c r="U44" s="9">
        <f>500</f>
        <v>500</v>
      </c>
      <c r="V44" s="9"/>
      <c r="W44" s="9">
        <f t="shared" si="22"/>
        <v>102756</v>
      </c>
      <c r="X44" s="10">
        <f t="shared" si="23"/>
        <v>200</v>
      </c>
      <c r="Y44" s="9"/>
      <c r="Z44" s="11"/>
      <c r="AA44" s="11">
        <f t="shared" si="24"/>
        <v>102556</v>
      </c>
    </row>
    <row r="45" spans="1:27" s="3" customFormat="1" x14ac:dyDescent="0.25">
      <c r="A45" s="7">
        <v>45131</v>
      </c>
      <c r="B45" s="1">
        <v>0.06</v>
      </c>
      <c r="C45" s="10">
        <f>C33+IF(MOD(C33*0.03,100)&gt;50,C33*0.03-MOD(C33*0.03,100)+100,C33*0.03-MOD(C33*0.03,100))</f>
        <v>68400</v>
      </c>
      <c r="D45" s="9">
        <f t="shared" si="25"/>
        <v>4104</v>
      </c>
      <c r="E45" s="9">
        <f t="shared" si="9"/>
        <v>8208</v>
      </c>
      <c r="F45" s="9">
        <f>500</f>
        <v>500</v>
      </c>
      <c r="G45" s="9"/>
      <c r="H45" s="9">
        <f t="shared" si="17"/>
        <v>81212</v>
      </c>
      <c r="I45" s="10">
        <f t="shared" si="18"/>
        <v>200</v>
      </c>
      <c r="J45" s="14"/>
      <c r="K45" s="8"/>
      <c r="L45" s="11">
        <f t="shared" si="19"/>
        <v>81012</v>
      </c>
      <c r="M45" s="11"/>
      <c r="N45" s="11">
        <f t="shared" si="20"/>
        <v>27360</v>
      </c>
      <c r="P45" s="7">
        <v>45131</v>
      </c>
      <c r="Q45" s="1">
        <v>0.46</v>
      </c>
      <c r="R45" s="10">
        <f t="shared" si="11"/>
        <v>68400</v>
      </c>
      <c r="S45" s="10">
        <f t="shared" si="21"/>
        <v>31464</v>
      </c>
      <c r="T45" s="9">
        <f t="shared" si="12"/>
        <v>8208</v>
      </c>
      <c r="U45" s="9">
        <f>500</f>
        <v>500</v>
      </c>
      <c r="V45" s="9"/>
      <c r="W45" s="9">
        <f t="shared" si="22"/>
        <v>108572</v>
      </c>
      <c r="X45" s="10">
        <f t="shared" si="23"/>
        <v>200</v>
      </c>
      <c r="Y45" s="14"/>
      <c r="Z45" s="11"/>
      <c r="AA45" s="11">
        <f t="shared" si="24"/>
        <v>108372</v>
      </c>
    </row>
    <row r="46" spans="1:27" s="3" customFormat="1" x14ac:dyDescent="0.25">
      <c r="A46" s="7">
        <v>45162</v>
      </c>
      <c r="B46" s="1">
        <v>0.06</v>
      </c>
      <c r="C46" s="10">
        <f t="shared" ref="C46:C56" si="26">C45</f>
        <v>68400</v>
      </c>
      <c r="D46" s="9">
        <f t="shared" si="25"/>
        <v>4104</v>
      </c>
      <c r="E46" s="9">
        <f t="shared" si="9"/>
        <v>8208</v>
      </c>
      <c r="F46" s="9">
        <f>500</f>
        <v>500</v>
      </c>
      <c r="G46" s="9"/>
      <c r="H46" s="9">
        <f t="shared" si="17"/>
        <v>81212</v>
      </c>
      <c r="I46" s="10">
        <f t="shared" si="18"/>
        <v>200</v>
      </c>
      <c r="J46" s="9"/>
      <c r="K46" s="8"/>
      <c r="L46" s="11">
        <f t="shared" si="19"/>
        <v>81012</v>
      </c>
      <c r="M46" s="11"/>
      <c r="N46" s="11">
        <f t="shared" si="20"/>
        <v>27360</v>
      </c>
      <c r="P46" s="7">
        <v>45162</v>
      </c>
      <c r="Q46" s="1">
        <f>Q45</f>
        <v>0.46</v>
      </c>
      <c r="R46" s="10">
        <f t="shared" si="11"/>
        <v>68400</v>
      </c>
      <c r="S46" s="10">
        <f t="shared" si="21"/>
        <v>31464</v>
      </c>
      <c r="T46" s="9">
        <f t="shared" si="12"/>
        <v>8208</v>
      </c>
      <c r="U46" s="9">
        <f>500</f>
        <v>500</v>
      </c>
      <c r="V46" s="9"/>
      <c r="W46" s="9">
        <f t="shared" si="22"/>
        <v>108572</v>
      </c>
      <c r="X46" s="10">
        <f t="shared" si="23"/>
        <v>200</v>
      </c>
      <c r="Y46" s="9"/>
      <c r="Z46" s="11"/>
      <c r="AA46" s="11">
        <f t="shared" si="24"/>
        <v>108372</v>
      </c>
    </row>
    <row r="47" spans="1:27" s="3" customFormat="1" x14ac:dyDescent="0.25">
      <c r="A47" s="7">
        <v>45193</v>
      </c>
      <c r="B47" s="1">
        <v>0.06</v>
      </c>
      <c r="C47" s="10">
        <f t="shared" si="26"/>
        <v>68400</v>
      </c>
      <c r="D47" s="9">
        <f t="shared" si="25"/>
        <v>4104</v>
      </c>
      <c r="E47" s="9">
        <f t="shared" si="9"/>
        <v>8208</v>
      </c>
      <c r="F47" s="9">
        <f>500</f>
        <v>500</v>
      </c>
      <c r="G47" s="9"/>
      <c r="H47" s="9">
        <f t="shared" si="17"/>
        <v>81212</v>
      </c>
      <c r="I47" s="10">
        <f t="shared" si="18"/>
        <v>200</v>
      </c>
      <c r="J47" s="9"/>
      <c r="K47" s="8"/>
      <c r="L47" s="11">
        <f t="shared" si="19"/>
        <v>81012</v>
      </c>
      <c r="M47" s="11"/>
      <c r="N47" s="11">
        <f t="shared" si="20"/>
        <v>27360</v>
      </c>
      <c r="P47" s="7">
        <v>45193</v>
      </c>
      <c r="Q47" s="1">
        <f>Q46</f>
        <v>0.46</v>
      </c>
      <c r="R47" s="10">
        <f t="shared" si="11"/>
        <v>68400</v>
      </c>
      <c r="S47" s="10">
        <f t="shared" si="21"/>
        <v>31464</v>
      </c>
      <c r="T47" s="9">
        <f t="shared" si="12"/>
        <v>8208</v>
      </c>
      <c r="U47" s="9">
        <f>500</f>
        <v>500</v>
      </c>
      <c r="V47" s="9"/>
      <c r="W47" s="9">
        <f t="shared" si="22"/>
        <v>108572</v>
      </c>
      <c r="X47" s="10">
        <f t="shared" si="23"/>
        <v>200</v>
      </c>
      <c r="Y47" s="9"/>
      <c r="Z47" s="11"/>
      <c r="AA47" s="11">
        <f t="shared" si="24"/>
        <v>108372</v>
      </c>
    </row>
    <row r="48" spans="1:27" s="3" customFormat="1" x14ac:dyDescent="0.25">
      <c r="A48" s="7">
        <v>45223</v>
      </c>
      <c r="B48" s="1">
        <v>0.06</v>
      </c>
      <c r="C48" s="10">
        <f t="shared" si="26"/>
        <v>68400</v>
      </c>
      <c r="D48" s="9">
        <f t="shared" si="25"/>
        <v>4104</v>
      </c>
      <c r="E48" s="9">
        <f t="shared" si="9"/>
        <v>8208</v>
      </c>
      <c r="F48" s="9">
        <f>500</f>
        <v>500</v>
      </c>
      <c r="G48" s="9"/>
      <c r="H48" s="9">
        <f t="shared" si="17"/>
        <v>81212</v>
      </c>
      <c r="I48" s="10">
        <f t="shared" si="18"/>
        <v>200</v>
      </c>
      <c r="J48" s="9"/>
      <c r="K48" s="8"/>
      <c r="L48" s="11">
        <f t="shared" si="19"/>
        <v>81012</v>
      </c>
      <c r="M48" s="11"/>
      <c r="N48" s="11">
        <f t="shared" si="20"/>
        <v>27360</v>
      </c>
      <c r="P48" s="7">
        <v>45223</v>
      </c>
      <c r="Q48" s="1">
        <f>Q47</f>
        <v>0.46</v>
      </c>
      <c r="R48" s="10">
        <f t="shared" si="11"/>
        <v>68400</v>
      </c>
      <c r="S48" s="10">
        <f t="shared" si="21"/>
        <v>31464</v>
      </c>
      <c r="T48" s="9">
        <f t="shared" si="12"/>
        <v>8208</v>
      </c>
      <c r="U48" s="9">
        <f>500</f>
        <v>500</v>
      </c>
      <c r="V48" s="9"/>
      <c r="W48" s="9">
        <f t="shared" si="22"/>
        <v>108572</v>
      </c>
      <c r="X48" s="10">
        <f t="shared" si="23"/>
        <v>200</v>
      </c>
      <c r="Y48" s="9"/>
      <c r="Z48" s="11"/>
      <c r="AA48" s="11">
        <f t="shared" si="24"/>
        <v>108372</v>
      </c>
    </row>
    <row r="49" spans="1:27" s="3" customFormat="1" x14ac:dyDescent="0.25">
      <c r="A49" s="7">
        <v>45254</v>
      </c>
      <c r="B49" s="1">
        <v>0.06</v>
      </c>
      <c r="C49" s="10">
        <f t="shared" si="26"/>
        <v>68400</v>
      </c>
      <c r="D49" s="9">
        <f t="shared" si="25"/>
        <v>4104</v>
      </c>
      <c r="E49" s="9">
        <f t="shared" si="9"/>
        <v>8208</v>
      </c>
      <c r="F49" s="9">
        <f>500</f>
        <v>500</v>
      </c>
      <c r="G49" s="9"/>
      <c r="H49" s="9">
        <f t="shared" si="17"/>
        <v>81212</v>
      </c>
      <c r="I49" s="10">
        <f t="shared" si="18"/>
        <v>200</v>
      </c>
      <c r="J49" s="9"/>
      <c r="K49" s="8"/>
      <c r="L49" s="11">
        <f t="shared" si="19"/>
        <v>81012</v>
      </c>
      <c r="M49" s="11"/>
      <c r="N49" s="11">
        <f t="shared" si="20"/>
        <v>27360</v>
      </c>
      <c r="P49" s="7">
        <v>45254</v>
      </c>
      <c r="Q49" s="1">
        <f>Q48</f>
        <v>0.46</v>
      </c>
      <c r="R49" s="10">
        <f t="shared" si="11"/>
        <v>68400</v>
      </c>
      <c r="S49" s="10">
        <f t="shared" si="21"/>
        <v>31464</v>
      </c>
      <c r="T49" s="9">
        <f t="shared" si="12"/>
        <v>8208</v>
      </c>
      <c r="U49" s="9">
        <f>500</f>
        <v>500</v>
      </c>
      <c r="V49" s="9"/>
      <c r="W49" s="9">
        <f t="shared" si="22"/>
        <v>108572</v>
      </c>
      <c r="X49" s="10">
        <f t="shared" si="23"/>
        <v>200</v>
      </c>
      <c r="Y49" s="9"/>
      <c r="Z49" s="11"/>
      <c r="AA49" s="11">
        <f t="shared" si="24"/>
        <v>108372</v>
      </c>
    </row>
    <row r="50" spans="1:27" s="3" customFormat="1" x14ac:dyDescent="0.25">
      <c r="A50" s="7">
        <v>45284</v>
      </c>
      <c r="B50" s="1">
        <v>0.06</v>
      </c>
      <c r="C50" s="10">
        <f t="shared" si="26"/>
        <v>68400</v>
      </c>
      <c r="D50" s="9">
        <f t="shared" si="25"/>
        <v>4104</v>
      </c>
      <c r="E50" s="9">
        <f t="shared" si="9"/>
        <v>8208</v>
      </c>
      <c r="F50" s="9">
        <f>500</f>
        <v>500</v>
      </c>
      <c r="G50" s="9"/>
      <c r="H50" s="9">
        <f t="shared" si="17"/>
        <v>81212</v>
      </c>
      <c r="I50" s="10">
        <f t="shared" si="18"/>
        <v>200</v>
      </c>
      <c r="J50" s="9"/>
      <c r="K50" s="8"/>
      <c r="L50" s="11">
        <f t="shared" si="19"/>
        <v>81012</v>
      </c>
      <c r="M50" s="11"/>
      <c r="N50" s="11">
        <f t="shared" si="20"/>
        <v>27360</v>
      </c>
      <c r="P50" s="7">
        <v>45284</v>
      </c>
      <c r="Q50" s="1">
        <f>Q49</f>
        <v>0.46</v>
      </c>
      <c r="R50" s="10">
        <f t="shared" si="11"/>
        <v>68400</v>
      </c>
      <c r="S50" s="10">
        <f t="shared" si="21"/>
        <v>31464</v>
      </c>
      <c r="T50" s="9">
        <f t="shared" si="12"/>
        <v>8208</v>
      </c>
      <c r="U50" s="9">
        <f>500</f>
        <v>500</v>
      </c>
      <c r="V50" s="9"/>
      <c r="W50" s="9">
        <f t="shared" si="22"/>
        <v>108572</v>
      </c>
      <c r="X50" s="10">
        <f t="shared" si="23"/>
        <v>200</v>
      </c>
      <c r="Y50" s="9"/>
      <c r="Z50" s="11"/>
      <c r="AA50" s="11">
        <f t="shared" si="24"/>
        <v>108372</v>
      </c>
    </row>
    <row r="51" spans="1:27" s="3" customFormat="1" x14ac:dyDescent="0.25">
      <c r="A51" s="7">
        <v>45315</v>
      </c>
      <c r="B51" s="1">
        <v>0.1</v>
      </c>
      <c r="C51" s="10">
        <f t="shared" si="26"/>
        <v>68400</v>
      </c>
      <c r="D51" s="9">
        <f>ROUND(C51*0.1,0)</f>
        <v>6840</v>
      </c>
      <c r="E51" s="9">
        <f t="shared" si="9"/>
        <v>8208</v>
      </c>
      <c r="F51" s="9">
        <f>500</f>
        <v>500</v>
      </c>
      <c r="G51" s="9"/>
      <c r="H51" s="9">
        <f t="shared" si="17"/>
        <v>83948</v>
      </c>
      <c r="I51" s="10">
        <f t="shared" si="18"/>
        <v>200</v>
      </c>
      <c r="J51" s="9"/>
      <c r="K51" s="8"/>
      <c r="L51" s="11">
        <f t="shared" si="19"/>
        <v>83748</v>
      </c>
      <c r="M51" s="11"/>
      <c r="N51" s="11">
        <f t="shared" si="20"/>
        <v>27360</v>
      </c>
      <c r="P51" s="7">
        <v>45315</v>
      </c>
      <c r="Q51" s="1">
        <v>0.5</v>
      </c>
      <c r="R51" s="10">
        <f t="shared" si="11"/>
        <v>68400</v>
      </c>
      <c r="S51" s="10">
        <f t="shared" si="21"/>
        <v>34200</v>
      </c>
      <c r="T51" s="9">
        <f t="shared" si="12"/>
        <v>8208</v>
      </c>
      <c r="U51" s="9">
        <f>500</f>
        <v>500</v>
      </c>
      <c r="V51" s="9"/>
      <c r="W51" s="9">
        <f t="shared" si="22"/>
        <v>111308</v>
      </c>
      <c r="X51" s="10">
        <f t="shared" si="23"/>
        <v>200</v>
      </c>
      <c r="Y51" s="9"/>
      <c r="Z51" s="11"/>
      <c r="AA51" s="11">
        <f t="shared" si="24"/>
        <v>111108</v>
      </c>
    </row>
    <row r="52" spans="1:27" s="21" customFormat="1" x14ac:dyDescent="0.25">
      <c r="A52" s="17">
        <v>45346</v>
      </c>
      <c r="B52" s="1">
        <v>0.1</v>
      </c>
      <c r="C52" s="18">
        <f t="shared" si="26"/>
        <v>68400</v>
      </c>
      <c r="D52" s="18">
        <f>ROUND(C52*0.1,0)</f>
        <v>6840</v>
      </c>
      <c r="E52" s="18">
        <f t="shared" si="9"/>
        <v>8208</v>
      </c>
      <c r="F52" s="19">
        <f>500</f>
        <v>500</v>
      </c>
      <c r="G52" s="19"/>
      <c r="H52" s="19">
        <f t="shared" si="17"/>
        <v>83948</v>
      </c>
      <c r="I52" s="18">
        <f t="shared" si="18"/>
        <v>200</v>
      </c>
      <c r="J52" s="19"/>
      <c r="K52" s="8"/>
      <c r="L52" s="12">
        <f t="shared" si="19"/>
        <v>83748</v>
      </c>
      <c r="M52" s="12"/>
      <c r="N52" s="11">
        <f t="shared" si="20"/>
        <v>27360</v>
      </c>
      <c r="P52" s="17">
        <v>45346</v>
      </c>
      <c r="Q52" s="1">
        <f>Q51</f>
        <v>0.5</v>
      </c>
      <c r="R52" s="18">
        <f t="shared" si="11"/>
        <v>68400</v>
      </c>
      <c r="S52" s="18">
        <f t="shared" si="21"/>
        <v>34200</v>
      </c>
      <c r="T52" s="18">
        <f t="shared" si="12"/>
        <v>8208</v>
      </c>
      <c r="U52" s="19">
        <f>500</f>
        <v>500</v>
      </c>
      <c r="V52" s="19"/>
      <c r="W52" s="19">
        <f t="shared" si="22"/>
        <v>111308</v>
      </c>
      <c r="X52" s="18">
        <f t="shared" si="23"/>
        <v>200</v>
      </c>
      <c r="Y52" s="19"/>
      <c r="Z52" s="11"/>
      <c r="AA52" s="12">
        <f t="shared" si="24"/>
        <v>111108</v>
      </c>
    </row>
    <row r="53" spans="1:27" s="3" customFormat="1" x14ac:dyDescent="0.25">
      <c r="A53" s="7">
        <v>45375</v>
      </c>
      <c r="B53" s="1">
        <v>0.1</v>
      </c>
      <c r="C53" s="10">
        <f t="shared" si="26"/>
        <v>68400</v>
      </c>
      <c r="D53" s="9">
        <f>ROUND(C53*0.1,0)</f>
        <v>6840</v>
      </c>
      <c r="E53" s="9">
        <f t="shared" si="9"/>
        <v>8208</v>
      </c>
      <c r="F53" s="9">
        <f>500</f>
        <v>500</v>
      </c>
      <c r="G53" s="9"/>
      <c r="H53" s="9">
        <f t="shared" si="17"/>
        <v>83948</v>
      </c>
      <c r="I53" s="10">
        <f t="shared" si="18"/>
        <v>200</v>
      </c>
      <c r="J53" s="9"/>
      <c r="K53" s="8"/>
      <c r="L53" s="11">
        <f t="shared" si="19"/>
        <v>83748</v>
      </c>
      <c r="M53" s="11"/>
      <c r="N53" s="11">
        <f t="shared" si="20"/>
        <v>27360</v>
      </c>
      <c r="P53" s="7">
        <v>45375</v>
      </c>
      <c r="Q53" s="1">
        <f>Q52</f>
        <v>0.5</v>
      </c>
      <c r="R53" s="10">
        <f t="shared" si="11"/>
        <v>68400</v>
      </c>
      <c r="S53" s="10">
        <f t="shared" si="21"/>
        <v>34200</v>
      </c>
      <c r="T53" s="9">
        <f t="shared" si="12"/>
        <v>8208</v>
      </c>
      <c r="U53" s="9">
        <f>500</f>
        <v>500</v>
      </c>
      <c r="V53" s="9"/>
      <c r="W53" s="9">
        <f t="shared" si="22"/>
        <v>111308</v>
      </c>
      <c r="X53" s="10">
        <f t="shared" si="23"/>
        <v>200</v>
      </c>
      <c r="Y53" s="9"/>
      <c r="Z53" s="11"/>
      <c r="AA53" s="11">
        <f t="shared" si="24"/>
        <v>111108</v>
      </c>
    </row>
    <row r="54" spans="1:27" s="3" customFormat="1" x14ac:dyDescent="0.25">
      <c r="A54" s="7">
        <v>45406</v>
      </c>
      <c r="B54" s="1">
        <v>0.14000000000000001</v>
      </c>
      <c r="C54" s="10">
        <f t="shared" si="26"/>
        <v>68400</v>
      </c>
      <c r="D54" s="36">
        <f t="shared" ref="D54:D65" si="27">ROUND(C54*0.14,0)</f>
        <v>9576</v>
      </c>
      <c r="E54" s="36">
        <f t="shared" si="9"/>
        <v>8208</v>
      </c>
      <c r="F54" s="9">
        <f>500</f>
        <v>500</v>
      </c>
      <c r="G54" s="9"/>
      <c r="H54" s="9">
        <f t="shared" si="17"/>
        <v>86684</v>
      </c>
      <c r="I54" s="10">
        <f t="shared" si="18"/>
        <v>200</v>
      </c>
      <c r="J54" s="9"/>
      <c r="K54" s="11"/>
      <c r="L54" s="11">
        <f t="shared" si="19"/>
        <v>86484</v>
      </c>
      <c r="M54" s="11"/>
      <c r="N54" s="11">
        <f t="shared" si="20"/>
        <v>24624</v>
      </c>
      <c r="P54" s="7">
        <v>45406</v>
      </c>
      <c r="Q54" s="1">
        <f>Q53</f>
        <v>0.5</v>
      </c>
      <c r="R54" s="10">
        <f t="shared" si="11"/>
        <v>68400</v>
      </c>
      <c r="S54" s="10">
        <f t="shared" si="21"/>
        <v>34200</v>
      </c>
      <c r="T54" s="36">
        <f t="shared" si="12"/>
        <v>8208</v>
      </c>
      <c r="U54" s="9">
        <f>500</f>
        <v>500</v>
      </c>
      <c r="V54" s="9"/>
      <c r="W54" s="9">
        <f t="shared" si="22"/>
        <v>111308</v>
      </c>
      <c r="X54" s="10">
        <f t="shared" si="23"/>
        <v>200</v>
      </c>
      <c r="Y54" s="9"/>
      <c r="Z54" s="11"/>
      <c r="AA54" s="11">
        <f t="shared" si="24"/>
        <v>111108</v>
      </c>
    </row>
    <row r="55" spans="1:27" s="3" customFormat="1" x14ac:dyDescent="0.25">
      <c r="A55" s="7">
        <v>45436</v>
      </c>
      <c r="B55" s="1">
        <v>0.14000000000000001</v>
      </c>
      <c r="C55" s="10">
        <f t="shared" si="26"/>
        <v>68400</v>
      </c>
      <c r="D55" s="9">
        <f t="shared" si="27"/>
        <v>9576</v>
      </c>
      <c r="E55" s="9">
        <f t="shared" si="9"/>
        <v>8208</v>
      </c>
      <c r="F55" s="9">
        <f>500</f>
        <v>500</v>
      </c>
      <c r="G55" s="9"/>
      <c r="H55" s="9">
        <f t="shared" si="17"/>
        <v>86684</v>
      </c>
      <c r="I55" s="10">
        <f t="shared" si="18"/>
        <v>200</v>
      </c>
      <c r="J55" s="9"/>
      <c r="K55" s="11"/>
      <c r="L55" s="11">
        <f t="shared" si="19"/>
        <v>86484</v>
      </c>
      <c r="M55" s="11"/>
      <c r="N55" s="11">
        <f t="shared" si="20"/>
        <v>24624</v>
      </c>
      <c r="P55" s="7">
        <v>45436</v>
      </c>
      <c r="Q55" s="1">
        <f>Q54</f>
        <v>0.5</v>
      </c>
      <c r="R55" s="10">
        <f t="shared" si="11"/>
        <v>68400</v>
      </c>
      <c r="S55" s="10">
        <f t="shared" si="21"/>
        <v>34200</v>
      </c>
      <c r="T55" s="9">
        <f t="shared" si="12"/>
        <v>8208</v>
      </c>
      <c r="U55" s="9">
        <f>500</f>
        <v>500</v>
      </c>
      <c r="V55" s="9"/>
      <c r="W55" s="9">
        <f t="shared" si="22"/>
        <v>111308</v>
      </c>
      <c r="X55" s="10">
        <f t="shared" si="23"/>
        <v>200</v>
      </c>
      <c r="Y55" s="9"/>
      <c r="Z55" s="11"/>
      <c r="AA55" s="11">
        <f t="shared" si="24"/>
        <v>111108</v>
      </c>
    </row>
    <row r="56" spans="1:27" s="3" customFormat="1" x14ac:dyDescent="0.25">
      <c r="A56" s="7">
        <v>45467</v>
      </c>
      <c r="B56" s="1">
        <v>0.14000000000000001</v>
      </c>
      <c r="C56" s="10">
        <f t="shared" si="26"/>
        <v>68400</v>
      </c>
      <c r="D56" s="9">
        <f t="shared" si="27"/>
        <v>9576</v>
      </c>
      <c r="E56" s="9">
        <f t="shared" si="9"/>
        <v>8208</v>
      </c>
      <c r="F56" s="9">
        <f>500</f>
        <v>500</v>
      </c>
      <c r="G56" s="9"/>
      <c r="H56" s="9">
        <f t="shared" si="17"/>
        <v>86684</v>
      </c>
      <c r="I56" s="10">
        <f t="shared" si="18"/>
        <v>200</v>
      </c>
      <c r="J56" s="9"/>
      <c r="K56" s="11"/>
      <c r="L56" s="11">
        <f t="shared" si="19"/>
        <v>86484</v>
      </c>
      <c r="M56" s="11"/>
      <c r="N56" s="11">
        <f t="shared" si="20"/>
        <v>24624</v>
      </c>
      <c r="P56" s="7">
        <v>45467</v>
      </c>
      <c r="Q56" s="1">
        <f>Q55</f>
        <v>0.5</v>
      </c>
      <c r="R56" s="10">
        <f t="shared" si="11"/>
        <v>68400</v>
      </c>
      <c r="S56" s="10">
        <f t="shared" si="21"/>
        <v>34200</v>
      </c>
      <c r="T56" s="9">
        <f t="shared" si="12"/>
        <v>8208</v>
      </c>
      <c r="U56" s="9">
        <f>500</f>
        <v>500</v>
      </c>
      <c r="V56" s="9"/>
      <c r="W56" s="9">
        <f t="shared" si="22"/>
        <v>111308</v>
      </c>
      <c r="X56" s="10">
        <f t="shared" si="23"/>
        <v>200</v>
      </c>
      <c r="Y56" s="9"/>
      <c r="Z56" s="11"/>
      <c r="AA56" s="11">
        <f t="shared" si="24"/>
        <v>111108</v>
      </c>
    </row>
    <row r="57" spans="1:27" s="3" customFormat="1" x14ac:dyDescent="0.25">
      <c r="A57" s="7">
        <v>45497</v>
      </c>
      <c r="B57" s="1">
        <v>0.14000000000000001</v>
      </c>
      <c r="C57" s="10">
        <f>C45+IF(MOD(C45*0.03,100)&gt;50,C45*0.03-MOD(C45*0.03,100)+100,C45*0.03-MOD(C45*0.03,100))</f>
        <v>70500</v>
      </c>
      <c r="D57" s="9">
        <f t="shared" si="27"/>
        <v>9870</v>
      </c>
      <c r="E57" s="9">
        <f t="shared" si="9"/>
        <v>8460</v>
      </c>
      <c r="F57" s="9">
        <f>500</f>
        <v>500</v>
      </c>
      <c r="G57" s="9"/>
      <c r="H57" s="9">
        <f t="shared" si="17"/>
        <v>89330</v>
      </c>
      <c r="I57" s="10">
        <f t="shared" si="18"/>
        <v>200</v>
      </c>
      <c r="J57" s="9"/>
      <c r="K57" s="11"/>
      <c r="L57" s="11">
        <f t="shared" si="19"/>
        <v>89130</v>
      </c>
      <c r="M57" s="11"/>
      <c r="N57" s="11">
        <f t="shared" si="20"/>
        <v>27495</v>
      </c>
      <c r="P57" s="7">
        <v>45497</v>
      </c>
      <c r="Q57" s="1">
        <v>0.53</v>
      </c>
      <c r="R57" s="10">
        <f t="shared" si="11"/>
        <v>70500</v>
      </c>
      <c r="S57" s="10">
        <f t="shared" si="21"/>
        <v>37365</v>
      </c>
      <c r="T57" s="9">
        <f t="shared" si="12"/>
        <v>8460</v>
      </c>
      <c r="U57" s="9">
        <f>500</f>
        <v>500</v>
      </c>
      <c r="V57" s="9"/>
      <c r="W57" s="9">
        <f t="shared" si="22"/>
        <v>116825</v>
      </c>
      <c r="X57" s="10">
        <f t="shared" si="23"/>
        <v>200</v>
      </c>
      <c r="Y57" s="9"/>
      <c r="Z57" s="11"/>
      <c r="AA57" s="11">
        <f t="shared" si="24"/>
        <v>116625</v>
      </c>
    </row>
    <row r="58" spans="1:27" s="3" customFormat="1" x14ac:dyDescent="0.25">
      <c r="A58" s="7">
        <v>45528</v>
      </c>
      <c r="B58" s="1">
        <v>0.14000000000000001</v>
      </c>
      <c r="C58" s="10">
        <f t="shared" ref="C58:C68" si="28">C57</f>
        <v>70500</v>
      </c>
      <c r="D58" s="9">
        <f t="shared" si="27"/>
        <v>9870</v>
      </c>
      <c r="E58" s="9">
        <f t="shared" si="9"/>
        <v>8460</v>
      </c>
      <c r="F58" s="9">
        <f>500</f>
        <v>500</v>
      </c>
      <c r="G58" s="9"/>
      <c r="H58" s="9">
        <f t="shared" si="17"/>
        <v>89330</v>
      </c>
      <c r="I58" s="10">
        <f t="shared" si="18"/>
        <v>200</v>
      </c>
      <c r="J58" s="9"/>
      <c r="K58" s="11"/>
      <c r="L58" s="11">
        <f t="shared" si="19"/>
        <v>89130</v>
      </c>
      <c r="M58" s="11"/>
      <c r="N58" s="11">
        <f t="shared" si="20"/>
        <v>27495</v>
      </c>
      <c r="P58" s="7">
        <v>45528</v>
      </c>
      <c r="Q58" s="1">
        <f>Q57</f>
        <v>0.53</v>
      </c>
      <c r="R58" s="10">
        <f t="shared" si="11"/>
        <v>70500</v>
      </c>
      <c r="S58" s="10">
        <f t="shared" si="21"/>
        <v>37365</v>
      </c>
      <c r="T58" s="9">
        <f t="shared" si="12"/>
        <v>8460</v>
      </c>
      <c r="U58" s="9">
        <f>500</f>
        <v>500</v>
      </c>
      <c r="V58" s="9"/>
      <c r="W58" s="9">
        <f t="shared" si="22"/>
        <v>116825</v>
      </c>
      <c r="X58" s="10">
        <f t="shared" si="23"/>
        <v>200</v>
      </c>
      <c r="Y58" s="9"/>
      <c r="Z58" s="11"/>
      <c r="AA58" s="11">
        <f t="shared" si="24"/>
        <v>116625</v>
      </c>
    </row>
    <row r="59" spans="1:27" s="3" customFormat="1" x14ac:dyDescent="0.25">
      <c r="A59" s="7">
        <v>45559</v>
      </c>
      <c r="B59" s="1">
        <v>0.14000000000000001</v>
      </c>
      <c r="C59" s="10">
        <f t="shared" si="28"/>
        <v>70500</v>
      </c>
      <c r="D59" s="9">
        <f t="shared" si="27"/>
        <v>9870</v>
      </c>
      <c r="E59" s="9">
        <f t="shared" si="9"/>
        <v>8460</v>
      </c>
      <c r="F59" s="9">
        <f>500</f>
        <v>500</v>
      </c>
      <c r="G59" s="9"/>
      <c r="H59" s="9">
        <f t="shared" si="17"/>
        <v>89330</v>
      </c>
      <c r="I59" s="10">
        <f t="shared" si="18"/>
        <v>200</v>
      </c>
      <c r="J59" s="9"/>
      <c r="K59" s="11"/>
      <c r="L59" s="11">
        <f t="shared" si="19"/>
        <v>89130</v>
      </c>
      <c r="M59" s="11"/>
      <c r="N59" s="11">
        <f t="shared" si="20"/>
        <v>27495</v>
      </c>
      <c r="P59" s="7">
        <v>45559</v>
      </c>
      <c r="Q59" s="1">
        <f>Q58</f>
        <v>0.53</v>
      </c>
      <c r="R59" s="10">
        <f t="shared" si="11"/>
        <v>70500</v>
      </c>
      <c r="S59" s="10">
        <f t="shared" si="21"/>
        <v>37365</v>
      </c>
      <c r="T59" s="9">
        <f t="shared" si="12"/>
        <v>8460</v>
      </c>
      <c r="U59" s="9">
        <f>500</f>
        <v>500</v>
      </c>
      <c r="V59" s="9"/>
      <c r="W59" s="9">
        <f t="shared" si="22"/>
        <v>116825</v>
      </c>
      <c r="X59" s="10">
        <f t="shared" si="23"/>
        <v>200</v>
      </c>
      <c r="Y59" s="9"/>
      <c r="Z59" s="11"/>
      <c r="AA59" s="11">
        <f t="shared" si="24"/>
        <v>116625</v>
      </c>
    </row>
    <row r="60" spans="1:27" s="3" customFormat="1" x14ac:dyDescent="0.25">
      <c r="A60" s="7">
        <v>45589</v>
      </c>
      <c r="B60" s="1">
        <v>0.14000000000000001</v>
      </c>
      <c r="C60" s="10">
        <f t="shared" si="28"/>
        <v>70500</v>
      </c>
      <c r="D60" s="9">
        <f t="shared" si="27"/>
        <v>9870</v>
      </c>
      <c r="E60" s="9">
        <f t="shared" si="9"/>
        <v>8460</v>
      </c>
      <c r="F60" s="9">
        <f>500</f>
        <v>500</v>
      </c>
      <c r="G60" s="9"/>
      <c r="H60" s="9">
        <f t="shared" si="17"/>
        <v>89330</v>
      </c>
      <c r="I60" s="10">
        <f t="shared" si="18"/>
        <v>200</v>
      </c>
      <c r="J60" s="9"/>
      <c r="K60" s="11"/>
      <c r="L60" s="11">
        <f t="shared" si="19"/>
        <v>89130</v>
      </c>
      <c r="M60" s="11"/>
      <c r="N60" s="11">
        <f t="shared" si="20"/>
        <v>27495</v>
      </c>
      <c r="P60" s="7">
        <v>45589</v>
      </c>
      <c r="Q60" s="1">
        <f>Q59</f>
        <v>0.53</v>
      </c>
      <c r="R60" s="10">
        <f t="shared" si="11"/>
        <v>70500</v>
      </c>
      <c r="S60" s="10">
        <f t="shared" si="21"/>
        <v>37365</v>
      </c>
      <c r="T60" s="9">
        <f t="shared" si="12"/>
        <v>8460</v>
      </c>
      <c r="U60" s="9">
        <f>500</f>
        <v>500</v>
      </c>
      <c r="V60" s="9"/>
      <c r="W60" s="9">
        <f t="shared" si="22"/>
        <v>116825</v>
      </c>
      <c r="X60" s="10">
        <f t="shared" si="23"/>
        <v>200</v>
      </c>
      <c r="Y60" s="9"/>
      <c r="Z60" s="11"/>
      <c r="AA60" s="11">
        <f t="shared" si="24"/>
        <v>116625</v>
      </c>
    </row>
    <row r="61" spans="1:27" s="3" customFormat="1" x14ac:dyDescent="0.25">
      <c r="A61" s="7">
        <v>45620</v>
      </c>
      <c r="B61" s="1">
        <v>0.14000000000000001</v>
      </c>
      <c r="C61" s="10">
        <f t="shared" si="28"/>
        <v>70500</v>
      </c>
      <c r="D61" s="9">
        <f t="shared" si="27"/>
        <v>9870</v>
      </c>
      <c r="E61" s="9">
        <f t="shared" si="9"/>
        <v>8460</v>
      </c>
      <c r="F61" s="9">
        <f>500</f>
        <v>500</v>
      </c>
      <c r="G61" s="9"/>
      <c r="H61" s="9">
        <f t="shared" si="17"/>
        <v>89330</v>
      </c>
      <c r="I61" s="10">
        <f t="shared" si="18"/>
        <v>200</v>
      </c>
      <c r="J61" s="9"/>
      <c r="K61" s="11"/>
      <c r="L61" s="11">
        <f t="shared" si="19"/>
        <v>89130</v>
      </c>
      <c r="M61" s="11"/>
      <c r="N61" s="11">
        <f t="shared" si="20"/>
        <v>27495</v>
      </c>
      <c r="P61" s="7">
        <v>45620</v>
      </c>
      <c r="Q61" s="1">
        <f>Q60</f>
        <v>0.53</v>
      </c>
      <c r="R61" s="10">
        <f t="shared" si="11"/>
        <v>70500</v>
      </c>
      <c r="S61" s="10">
        <f t="shared" si="21"/>
        <v>37365</v>
      </c>
      <c r="T61" s="9">
        <f t="shared" si="12"/>
        <v>8460</v>
      </c>
      <c r="U61" s="9">
        <f>500</f>
        <v>500</v>
      </c>
      <c r="V61" s="9"/>
      <c r="W61" s="9">
        <f t="shared" si="22"/>
        <v>116825</v>
      </c>
      <c r="X61" s="10">
        <f t="shared" si="23"/>
        <v>200</v>
      </c>
      <c r="Y61" s="9"/>
      <c r="Z61" s="11"/>
      <c r="AA61" s="11">
        <f t="shared" si="24"/>
        <v>116625</v>
      </c>
    </row>
    <row r="62" spans="1:27" s="3" customFormat="1" x14ac:dyDescent="0.25">
      <c r="A62" s="7">
        <v>45650</v>
      </c>
      <c r="B62" s="1">
        <v>0.14000000000000001</v>
      </c>
      <c r="C62" s="10">
        <f t="shared" si="28"/>
        <v>70500</v>
      </c>
      <c r="D62" s="9">
        <f t="shared" si="27"/>
        <v>9870</v>
      </c>
      <c r="E62" s="9">
        <f t="shared" si="9"/>
        <v>8460</v>
      </c>
      <c r="F62" s="9">
        <f>500</f>
        <v>500</v>
      </c>
      <c r="G62" s="9"/>
      <c r="H62" s="9">
        <f t="shared" si="17"/>
        <v>89330</v>
      </c>
      <c r="I62" s="10">
        <f t="shared" si="18"/>
        <v>200</v>
      </c>
      <c r="J62" s="9"/>
      <c r="K62" s="11"/>
      <c r="L62" s="11">
        <f t="shared" si="19"/>
        <v>89130</v>
      </c>
      <c r="M62" s="11"/>
      <c r="N62" s="11">
        <f t="shared" si="20"/>
        <v>27495</v>
      </c>
      <c r="P62" s="7">
        <v>45650</v>
      </c>
      <c r="Q62" s="1">
        <f>Q61</f>
        <v>0.53</v>
      </c>
      <c r="R62" s="10">
        <f t="shared" si="11"/>
        <v>70500</v>
      </c>
      <c r="S62" s="10">
        <f t="shared" si="21"/>
        <v>37365</v>
      </c>
      <c r="T62" s="9">
        <f t="shared" si="12"/>
        <v>8460</v>
      </c>
      <c r="U62" s="9">
        <f>500</f>
        <v>500</v>
      </c>
      <c r="V62" s="9"/>
      <c r="W62" s="9">
        <f t="shared" si="22"/>
        <v>116825</v>
      </c>
      <c r="X62" s="10">
        <f t="shared" si="23"/>
        <v>200</v>
      </c>
      <c r="Y62" s="9"/>
      <c r="Z62" s="11"/>
      <c r="AA62" s="11">
        <f t="shared" si="24"/>
        <v>116625</v>
      </c>
    </row>
    <row r="63" spans="1:27" s="3" customFormat="1" x14ac:dyDescent="0.25">
      <c r="A63" s="7">
        <v>45681</v>
      </c>
      <c r="B63" s="1">
        <v>0.14000000000000001</v>
      </c>
      <c r="C63" s="10">
        <f t="shared" si="28"/>
        <v>70500</v>
      </c>
      <c r="D63" s="9">
        <f t="shared" si="27"/>
        <v>9870</v>
      </c>
      <c r="E63" s="9">
        <f t="shared" si="9"/>
        <v>8460</v>
      </c>
      <c r="F63" s="9">
        <f>500</f>
        <v>500</v>
      </c>
      <c r="G63" s="9"/>
      <c r="H63" s="9">
        <f t="shared" si="17"/>
        <v>89330</v>
      </c>
      <c r="I63" s="10">
        <f t="shared" si="18"/>
        <v>200</v>
      </c>
      <c r="J63" s="9"/>
      <c r="K63" s="11"/>
      <c r="L63" s="11">
        <f t="shared" si="19"/>
        <v>89130</v>
      </c>
      <c r="M63" s="11"/>
      <c r="N63" s="11">
        <f t="shared" si="20"/>
        <v>27495</v>
      </c>
      <c r="P63" s="7">
        <v>45681</v>
      </c>
      <c r="Q63" s="1">
        <f t="shared" ref="Q63:Q74" si="29">Q62</f>
        <v>0.53</v>
      </c>
      <c r="R63" s="10">
        <f t="shared" si="11"/>
        <v>70500</v>
      </c>
      <c r="S63" s="10">
        <f t="shared" si="21"/>
        <v>37365</v>
      </c>
      <c r="T63" s="9">
        <f t="shared" si="12"/>
        <v>8460</v>
      </c>
      <c r="U63" s="9">
        <f>500</f>
        <v>500</v>
      </c>
      <c r="V63" s="9"/>
      <c r="W63" s="9">
        <f t="shared" si="22"/>
        <v>116825</v>
      </c>
      <c r="X63" s="10">
        <f t="shared" si="23"/>
        <v>200</v>
      </c>
      <c r="Y63" s="9"/>
      <c r="Z63" s="11"/>
      <c r="AA63" s="11">
        <f t="shared" si="24"/>
        <v>116625</v>
      </c>
    </row>
    <row r="64" spans="1:27" s="21" customFormat="1" x14ac:dyDescent="0.25">
      <c r="A64" s="17">
        <v>45712</v>
      </c>
      <c r="B64" s="1">
        <v>0.14000000000000001</v>
      </c>
      <c r="C64" s="18">
        <f t="shared" si="28"/>
        <v>70500</v>
      </c>
      <c r="D64" s="18">
        <f t="shared" si="27"/>
        <v>9870</v>
      </c>
      <c r="E64" s="18">
        <f t="shared" si="9"/>
        <v>8460</v>
      </c>
      <c r="F64" s="19">
        <f>500</f>
        <v>500</v>
      </c>
      <c r="G64" s="19"/>
      <c r="H64" s="19">
        <f t="shared" si="17"/>
        <v>89330</v>
      </c>
      <c r="I64" s="18">
        <f t="shared" si="18"/>
        <v>200</v>
      </c>
      <c r="J64" s="19"/>
      <c r="K64" s="12"/>
      <c r="L64" s="12">
        <f t="shared" si="19"/>
        <v>89130</v>
      </c>
      <c r="M64" s="12"/>
      <c r="N64" s="11">
        <f t="shared" si="20"/>
        <v>27495</v>
      </c>
      <c r="P64" s="17">
        <v>45712</v>
      </c>
      <c r="Q64" s="37">
        <f t="shared" si="29"/>
        <v>0.53</v>
      </c>
      <c r="R64" s="18">
        <f t="shared" si="11"/>
        <v>70500</v>
      </c>
      <c r="S64" s="18">
        <f t="shared" si="21"/>
        <v>37365</v>
      </c>
      <c r="T64" s="18">
        <f t="shared" si="12"/>
        <v>8460</v>
      </c>
      <c r="U64" s="19">
        <f>500</f>
        <v>500</v>
      </c>
      <c r="V64" s="19"/>
      <c r="W64" s="19">
        <f t="shared" si="22"/>
        <v>116825</v>
      </c>
      <c r="X64" s="18">
        <f t="shared" si="23"/>
        <v>200</v>
      </c>
      <c r="Y64" s="19"/>
      <c r="Z64" s="12"/>
      <c r="AA64" s="12">
        <f t="shared" si="24"/>
        <v>116625</v>
      </c>
    </row>
    <row r="65" spans="1:27" s="3" customFormat="1" x14ac:dyDescent="0.25">
      <c r="A65" s="7">
        <v>45740</v>
      </c>
      <c r="B65" s="1">
        <v>0.14000000000000001</v>
      </c>
      <c r="C65" s="10">
        <f t="shared" si="28"/>
        <v>70500</v>
      </c>
      <c r="D65" s="9">
        <f t="shared" si="27"/>
        <v>9870</v>
      </c>
      <c r="E65" s="9">
        <f t="shared" si="9"/>
        <v>8460</v>
      </c>
      <c r="F65" s="9">
        <f>500</f>
        <v>500</v>
      </c>
      <c r="G65" s="9"/>
      <c r="H65" s="9">
        <f t="shared" si="17"/>
        <v>89330</v>
      </c>
      <c r="I65" s="10">
        <f t="shared" si="18"/>
        <v>200</v>
      </c>
      <c r="J65" s="9"/>
      <c r="K65" s="8"/>
      <c r="L65" s="11">
        <f t="shared" si="19"/>
        <v>89130</v>
      </c>
      <c r="M65" s="11"/>
      <c r="N65" s="11">
        <f t="shared" si="20"/>
        <v>27495</v>
      </c>
      <c r="P65" s="7">
        <v>45740</v>
      </c>
      <c r="Q65" s="1">
        <f t="shared" si="29"/>
        <v>0.53</v>
      </c>
      <c r="R65" s="10">
        <f t="shared" si="11"/>
        <v>70500</v>
      </c>
      <c r="S65" s="10">
        <f t="shared" si="21"/>
        <v>37365</v>
      </c>
      <c r="T65" s="9">
        <f t="shared" si="12"/>
        <v>8460</v>
      </c>
      <c r="U65" s="9">
        <f>500</f>
        <v>500</v>
      </c>
      <c r="V65" s="9"/>
      <c r="W65" s="9">
        <f t="shared" si="22"/>
        <v>116825</v>
      </c>
      <c r="X65" s="10">
        <f t="shared" si="23"/>
        <v>200</v>
      </c>
      <c r="Y65" s="9"/>
      <c r="Z65" s="11"/>
      <c r="AA65" s="11">
        <f t="shared" si="24"/>
        <v>116625</v>
      </c>
    </row>
    <row r="66" spans="1:27" s="3" customFormat="1" x14ac:dyDescent="0.25">
      <c r="A66" s="7">
        <v>45771</v>
      </c>
      <c r="B66" s="1">
        <v>0.18</v>
      </c>
      <c r="C66" s="10">
        <f t="shared" si="28"/>
        <v>70500</v>
      </c>
      <c r="D66" s="36">
        <f t="shared" ref="D66:D74" si="30">ROUND(C66*0.18,0)</f>
        <v>12690</v>
      </c>
      <c r="E66" s="36">
        <f t="shared" si="9"/>
        <v>8460</v>
      </c>
      <c r="F66" s="9">
        <f>500</f>
        <v>500</v>
      </c>
      <c r="G66" s="9"/>
      <c r="H66" s="9">
        <f t="shared" si="17"/>
        <v>92150</v>
      </c>
      <c r="I66" s="10">
        <f t="shared" si="18"/>
        <v>200</v>
      </c>
      <c r="J66" s="9"/>
      <c r="K66" s="8"/>
      <c r="L66" s="11">
        <f t="shared" si="19"/>
        <v>91950</v>
      </c>
      <c r="M66" s="11"/>
      <c r="N66" s="11">
        <f t="shared" si="20"/>
        <v>24675</v>
      </c>
      <c r="P66" s="7">
        <v>45771</v>
      </c>
      <c r="Q66" s="1">
        <f t="shared" si="29"/>
        <v>0.53</v>
      </c>
      <c r="R66" s="10">
        <f t="shared" si="11"/>
        <v>70500</v>
      </c>
      <c r="S66" s="10">
        <f t="shared" si="21"/>
        <v>37365</v>
      </c>
      <c r="T66" s="36">
        <f t="shared" si="12"/>
        <v>8460</v>
      </c>
      <c r="U66" s="9">
        <f>500</f>
        <v>500</v>
      </c>
      <c r="V66" s="9"/>
      <c r="W66" s="9">
        <f t="shared" si="22"/>
        <v>116825</v>
      </c>
      <c r="X66" s="10">
        <f t="shared" si="23"/>
        <v>200</v>
      </c>
      <c r="Y66" s="9"/>
      <c r="Z66" s="11"/>
      <c r="AA66" s="11">
        <f t="shared" si="24"/>
        <v>116625</v>
      </c>
    </row>
    <row r="67" spans="1:27" s="3" customFormat="1" x14ac:dyDescent="0.25">
      <c r="A67" s="7">
        <v>45801</v>
      </c>
      <c r="B67" s="1">
        <v>0.18</v>
      </c>
      <c r="C67" s="10">
        <f t="shared" si="28"/>
        <v>70500</v>
      </c>
      <c r="D67" s="9">
        <f t="shared" si="30"/>
        <v>12690</v>
      </c>
      <c r="E67" s="9">
        <f t="shared" si="9"/>
        <v>8460</v>
      </c>
      <c r="F67" s="9">
        <f>500</f>
        <v>500</v>
      </c>
      <c r="G67" s="9"/>
      <c r="H67" s="9">
        <f t="shared" ref="H67:H74" si="31">SUM(C67:F67)</f>
        <v>92150</v>
      </c>
      <c r="I67" s="10">
        <f t="shared" ref="I67:I74" si="32">IF(H67&gt;40000,200,IF(H67&gt;25000,150,IF(H67&gt;15000,130,IF(H67&gt;9000,110,IF(H67&gt;8000,90,IF(H67&gt;7000,50,IF(H67&gt;6000,45,IF(H67&gt;5000,40,0))))))))</f>
        <v>200</v>
      </c>
      <c r="J67" s="9"/>
      <c r="K67" s="8"/>
      <c r="L67" s="11">
        <f t="shared" ref="L67:L74" si="33">(H67-(I67+J67+K67))</f>
        <v>91950</v>
      </c>
      <c r="M67" s="11"/>
      <c r="N67" s="11">
        <f t="shared" ref="N67:N74" si="34">AA67-L67</f>
        <v>24675</v>
      </c>
      <c r="P67" s="7">
        <v>45801</v>
      </c>
      <c r="Q67" s="1">
        <f t="shared" si="29"/>
        <v>0.53</v>
      </c>
      <c r="R67" s="10">
        <f t="shared" si="11"/>
        <v>70500</v>
      </c>
      <c r="S67" s="10">
        <f t="shared" ref="S67:S74" si="35">ROUND(R67*Q67,0)</f>
        <v>37365</v>
      </c>
      <c r="T67" s="9">
        <f t="shared" si="12"/>
        <v>8460</v>
      </c>
      <c r="U67" s="9">
        <f>500</f>
        <v>500</v>
      </c>
      <c r="V67" s="9"/>
      <c r="W67" s="9">
        <f t="shared" ref="W67:W74" si="36">SUM(R67:U67)</f>
        <v>116825</v>
      </c>
      <c r="X67" s="10">
        <f t="shared" ref="X67:X74" si="37">IF(W67&gt;40000,200,IF(W67&gt;25000,150,IF(W67&gt;15000,130,IF(W67&gt;9000,110,IF(W67&gt;8000,90,IF(W67&gt;7000,50,IF(W67&gt;6000,45,IF(W67&gt;5000,40,0))))))))</f>
        <v>200</v>
      </c>
      <c r="Y67" s="9"/>
      <c r="Z67" s="11"/>
      <c r="AA67" s="11">
        <f t="shared" ref="AA67:AA74" si="38">(W67-SUM(X67:Z67))</f>
        <v>116625</v>
      </c>
    </row>
    <row r="68" spans="1:27" s="3" customFormat="1" x14ac:dyDescent="0.25">
      <c r="A68" s="7">
        <v>45832</v>
      </c>
      <c r="B68" s="1">
        <v>0.18</v>
      </c>
      <c r="C68" s="10">
        <f t="shared" si="28"/>
        <v>70500</v>
      </c>
      <c r="D68" s="9">
        <f t="shared" si="30"/>
        <v>12690</v>
      </c>
      <c r="E68" s="9">
        <f t="shared" ref="E68:E74" si="39">C68*0.12</f>
        <v>8460</v>
      </c>
      <c r="F68" s="9">
        <f>500</f>
        <v>500</v>
      </c>
      <c r="G68" s="9"/>
      <c r="H68" s="9">
        <f t="shared" si="31"/>
        <v>92150</v>
      </c>
      <c r="I68" s="10">
        <f t="shared" si="32"/>
        <v>200</v>
      </c>
      <c r="J68" s="9"/>
      <c r="K68" s="8"/>
      <c r="L68" s="11">
        <f t="shared" si="33"/>
        <v>91950</v>
      </c>
      <c r="M68" s="11"/>
      <c r="N68" s="11">
        <f t="shared" si="34"/>
        <v>24675</v>
      </c>
      <c r="P68" s="7">
        <v>45832</v>
      </c>
      <c r="Q68" s="1">
        <f t="shared" si="29"/>
        <v>0.53</v>
      </c>
      <c r="R68" s="10">
        <f t="shared" ref="R68:R74" si="40">C68</f>
        <v>70500</v>
      </c>
      <c r="S68" s="10">
        <f t="shared" si="35"/>
        <v>37365</v>
      </c>
      <c r="T68" s="9">
        <f t="shared" ref="T68:T74" si="41">R68*0.12</f>
        <v>8460</v>
      </c>
      <c r="U68" s="9">
        <f>500</f>
        <v>500</v>
      </c>
      <c r="V68" s="9"/>
      <c r="W68" s="9">
        <f t="shared" si="36"/>
        <v>116825</v>
      </c>
      <c r="X68" s="10">
        <f t="shared" si="37"/>
        <v>200</v>
      </c>
      <c r="Y68" s="9"/>
      <c r="Z68" s="11"/>
      <c r="AA68" s="11">
        <f t="shared" si="38"/>
        <v>116625</v>
      </c>
    </row>
    <row r="69" spans="1:27" s="3" customFormat="1" x14ac:dyDescent="0.25">
      <c r="A69" s="7">
        <v>45862</v>
      </c>
      <c r="B69" s="1">
        <v>0.18</v>
      </c>
      <c r="C69" s="10">
        <f>C57+IF(MOD(C57*0.03,100)&gt;50,C57*0.03-MOD(C57*0.03,100)+100,C57*0.03-MOD(C57*0.03,100))</f>
        <v>72600</v>
      </c>
      <c r="D69" s="9">
        <f t="shared" si="30"/>
        <v>13068</v>
      </c>
      <c r="E69" s="9">
        <f t="shared" si="39"/>
        <v>8712</v>
      </c>
      <c r="F69" s="9">
        <f>500</f>
        <v>500</v>
      </c>
      <c r="G69" s="9"/>
      <c r="H69" s="9">
        <f t="shared" si="31"/>
        <v>94880</v>
      </c>
      <c r="I69" s="10">
        <f t="shared" si="32"/>
        <v>200</v>
      </c>
      <c r="J69" s="9"/>
      <c r="K69" s="8"/>
      <c r="L69" s="11">
        <f t="shared" si="33"/>
        <v>94680</v>
      </c>
      <c r="M69" s="11"/>
      <c r="N69" s="11">
        <f t="shared" si="34"/>
        <v>25410</v>
      </c>
      <c r="P69" s="7">
        <v>45862</v>
      </c>
      <c r="Q69" s="1">
        <f t="shared" si="29"/>
        <v>0.53</v>
      </c>
      <c r="R69" s="10">
        <f t="shared" si="40"/>
        <v>72600</v>
      </c>
      <c r="S69" s="10">
        <f t="shared" si="35"/>
        <v>38478</v>
      </c>
      <c r="T69" s="9">
        <f t="shared" si="41"/>
        <v>8712</v>
      </c>
      <c r="U69" s="9">
        <f>500</f>
        <v>500</v>
      </c>
      <c r="V69" s="9"/>
      <c r="W69" s="9">
        <f t="shared" si="36"/>
        <v>120290</v>
      </c>
      <c r="X69" s="10">
        <f t="shared" si="37"/>
        <v>200</v>
      </c>
      <c r="Y69" s="9"/>
      <c r="Z69" s="11"/>
      <c r="AA69" s="11">
        <f t="shared" si="38"/>
        <v>120090</v>
      </c>
    </row>
    <row r="70" spans="1:27" s="3" customFormat="1" x14ac:dyDescent="0.25">
      <c r="A70" s="7">
        <v>45893</v>
      </c>
      <c r="B70" s="1">
        <v>0.18</v>
      </c>
      <c r="C70" s="10">
        <f>C69</f>
        <v>72600</v>
      </c>
      <c r="D70" s="9">
        <f t="shared" si="30"/>
        <v>13068</v>
      </c>
      <c r="E70" s="9">
        <f t="shared" si="39"/>
        <v>8712</v>
      </c>
      <c r="F70" s="9">
        <f>500</f>
        <v>500</v>
      </c>
      <c r="G70" s="9"/>
      <c r="H70" s="9">
        <f t="shared" si="31"/>
        <v>94880</v>
      </c>
      <c r="I70" s="10">
        <f t="shared" si="32"/>
        <v>200</v>
      </c>
      <c r="J70" s="9"/>
      <c r="K70" s="8"/>
      <c r="L70" s="11">
        <f t="shared" si="33"/>
        <v>94680</v>
      </c>
      <c r="M70" s="11"/>
      <c r="N70" s="11">
        <f t="shared" si="34"/>
        <v>25410</v>
      </c>
      <c r="P70" s="7">
        <v>45893</v>
      </c>
      <c r="Q70" s="1">
        <f t="shared" si="29"/>
        <v>0.53</v>
      </c>
      <c r="R70" s="10">
        <f t="shared" si="40"/>
        <v>72600</v>
      </c>
      <c r="S70" s="10">
        <f t="shared" si="35"/>
        <v>38478</v>
      </c>
      <c r="T70" s="9">
        <f t="shared" si="41"/>
        <v>8712</v>
      </c>
      <c r="U70" s="9">
        <f>500</f>
        <v>500</v>
      </c>
      <c r="V70" s="9"/>
      <c r="W70" s="9">
        <f t="shared" si="36"/>
        <v>120290</v>
      </c>
      <c r="X70" s="10">
        <f t="shared" si="37"/>
        <v>200</v>
      </c>
      <c r="Y70" s="9"/>
      <c r="Z70" s="11"/>
      <c r="AA70" s="11">
        <f t="shared" si="38"/>
        <v>120090</v>
      </c>
    </row>
    <row r="71" spans="1:27" s="3" customFormat="1" x14ac:dyDescent="0.25">
      <c r="A71" s="7">
        <v>45924</v>
      </c>
      <c r="B71" s="1">
        <v>0.18</v>
      </c>
      <c r="C71" s="10">
        <f>C70</f>
        <v>72600</v>
      </c>
      <c r="D71" s="9">
        <f t="shared" si="30"/>
        <v>13068</v>
      </c>
      <c r="E71" s="9">
        <f t="shared" si="39"/>
        <v>8712</v>
      </c>
      <c r="F71" s="9">
        <f>500</f>
        <v>500</v>
      </c>
      <c r="G71" s="9"/>
      <c r="H71" s="9">
        <f t="shared" si="31"/>
        <v>94880</v>
      </c>
      <c r="I71" s="10">
        <f t="shared" si="32"/>
        <v>200</v>
      </c>
      <c r="J71" s="9"/>
      <c r="K71" s="8"/>
      <c r="L71" s="11">
        <f t="shared" si="33"/>
        <v>94680</v>
      </c>
      <c r="M71" s="11"/>
      <c r="N71" s="11">
        <f t="shared" si="34"/>
        <v>25410</v>
      </c>
      <c r="P71" s="7">
        <v>45924</v>
      </c>
      <c r="Q71" s="1">
        <f t="shared" si="29"/>
        <v>0.53</v>
      </c>
      <c r="R71" s="10">
        <f t="shared" si="40"/>
        <v>72600</v>
      </c>
      <c r="S71" s="10">
        <f t="shared" si="35"/>
        <v>38478</v>
      </c>
      <c r="T71" s="9">
        <f t="shared" si="41"/>
        <v>8712</v>
      </c>
      <c r="U71" s="9">
        <f>500</f>
        <v>500</v>
      </c>
      <c r="V71" s="9"/>
      <c r="W71" s="9">
        <f t="shared" si="36"/>
        <v>120290</v>
      </c>
      <c r="X71" s="10">
        <f t="shared" si="37"/>
        <v>200</v>
      </c>
      <c r="Y71" s="9"/>
      <c r="Z71" s="11"/>
      <c r="AA71" s="11">
        <f t="shared" si="38"/>
        <v>120090</v>
      </c>
    </row>
    <row r="72" spans="1:27" s="3" customFormat="1" x14ac:dyDescent="0.25">
      <c r="A72" s="7">
        <v>45954</v>
      </c>
      <c r="B72" s="1">
        <v>0.18</v>
      </c>
      <c r="C72" s="10">
        <f>C71</f>
        <v>72600</v>
      </c>
      <c r="D72" s="9">
        <f t="shared" si="30"/>
        <v>13068</v>
      </c>
      <c r="E72" s="9">
        <f t="shared" si="39"/>
        <v>8712</v>
      </c>
      <c r="F72" s="9">
        <f>500</f>
        <v>500</v>
      </c>
      <c r="G72" s="9"/>
      <c r="H72" s="9">
        <f t="shared" si="31"/>
        <v>94880</v>
      </c>
      <c r="I72" s="10">
        <f t="shared" si="32"/>
        <v>200</v>
      </c>
      <c r="J72" s="9"/>
      <c r="K72" s="8"/>
      <c r="L72" s="11">
        <f t="shared" si="33"/>
        <v>94680</v>
      </c>
      <c r="M72" s="11"/>
      <c r="N72" s="11">
        <f t="shared" si="34"/>
        <v>25410</v>
      </c>
      <c r="P72" s="7">
        <v>45954</v>
      </c>
      <c r="Q72" s="1">
        <f t="shared" si="29"/>
        <v>0.53</v>
      </c>
      <c r="R72" s="10">
        <f t="shared" si="40"/>
        <v>72600</v>
      </c>
      <c r="S72" s="10">
        <f t="shared" si="35"/>
        <v>38478</v>
      </c>
      <c r="T72" s="9">
        <f t="shared" si="41"/>
        <v>8712</v>
      </c>
      <c r="U72" s="9">
        <f>500</f>
        <v>500</v>
      </c>
      <c r="V72" s="9"/>
      <c r="W72" s="9">
        <f t="shared" si="36"/>
        <v>120290</v>
      </c>
      <c r="X72" s="10">
        <f t="shared" si="37"/>
        <v>200</v>
      </c>
      <c r="Y72" s="9"/>
      <c r="Z72" s="11"/>
      <c r="AA72" s="11">
        <f t="shared" si="38"/>
        <v>120090</v>
      </c>
    </row>
    <row r="73" spans="1:27" s="3" customFormat="1" x14ac:dyDescent="0.25">
      <c r="A73" s="7">
        <v>45985</v>
      </c>
      <c r="B73" s="1">
        <v>0.18</v>
      </c>
      <c r="C73" s="10">
        <f>C72</f>
        <v>72600</v>
      </c>
      <c r="D73" s="9">
        <f t="shared" si="30"/>
        <v>13068</v>
      </c>
      <c r="E73" s="9">
        <f t="shared" si="39"/>
        <v>8712</v>
      </c>
      <c r="F73" s="9">
        <f>500</f>
        <v>500</v>
      </c>
      <c r="G73" s="9"/>
      <c r="H73" s="9">
        <f t="shared" si="31"/>
        <v>94880</v>
      </c>
      <c r="I73" s="10">
        <f t="shared" si="32"/>
        <v>200</v>
      </c>
      <c r="J73" s="9"/>
      <c r="K73" s="8"/>
      <c r="L73" s="11">
        <f t="shared" si="33"/>
        <v>94680</v>
      </c>
      <c r="M73" s="11"/>
      <c r="N73" s="11">
        <f t="shared" si="34"/>
        <v>25410</v>
      </c>
      <c r="P73" s="7">
        <v>45985</v>
      </c>
      <c r="Q73" s="1">
        <f t="shared" si="29"/>
        <v>0.53</v>
      </c>
      <c r="R73" s="10">
        <f t="shared" si="40"/>
        <v>72600</v>
      </c>
      <c r="S73" s="10">
        <f t="shared" si="35"/>
        <v>38478</v>
      </c>
      <c r="T73" s="9">
        <f t="shared" si="41"/>
        <v>8712</v>
      </c>
      <c r="U73" s="9">
        <f>500</f>
        <v>500</v>
      </c>
      <c r="V73" s="9"/>
      <c r="W73" s="9">
        <f t="shared" si="36"/>
        <v>120290</v>
      </c>
      <c r="X73" s="10">
        <f t="shared" si="37"/>
        <v>200</v>
      </c>
      <c r="Y73" s="9"/>
      <c r="Z73" s="11"/>
      <c r="AA73" s="11">
        <f t="shared" si="38"/>
        <v>120090</v>
      </c>
    </row>
    <row r="74" spans="1:27" s="3" customFormat="1" x14ac:dyDescent="0.25">
      <c r="A74" s="7">
        <v>46015</v>
      </c>
      <c r="B74" s="1">
        <v>0.18</v>
      </c>
      <c r="C74" s="10">
        <f>C73</f>
        <v>72600</v>
      </c>
      <c r="D74" s="9">
        <f t="shared" si="30"/>
        <v>13068</v>
      </c>
      <c r="E74" s="9">
        <f t="shared" si="39"/>
        <v>8712</v>
      </c>
      <c r="F74" s="9">
        <f>500</f>
        <v>500</v>
      </c>
      <c r="G74" s="9"/>
      <c r="H74" s="9">
        <f t="shared" si="31"/>
        <v>94880</v>
      </c>
      <c r="I74" s="10">
        <f t="shared" si="32"/>
        <v>200</v>
      </c>
      <c r="J74" s="9"/>
      <c r="K74" s="8"/>
      <c r="L74" s="11">
        <f t="shared" si="33"/>
        <v>94680</v>
      </c>
      <c r="M74" s="11"/>
      <c r="N74" s="11">
        <f t="shared" si="34"/>
        <v>25410</v>
      </c>
      <c r="P74" s="7">
        <v>46015</v>
      </c>
      <c r="Q74" s="1">
        <f t="shared" si="29"/>
        <v>0.53</v>
      </c>
      <c r="R74" s="10">
        <f t="shared" si="40"/>
        <v>72600</v>
      </c>
      <c r="S74" s="10">
        <f t="shared" si="35"/>
        <v>38478</v>
      </c>
      <c r="T74" s="9">
        <f t="shared" si="41"/>
        <v>8712</v>
      </c>
      <c r="U74" s="9">
        <f>500</f>
        <v>500</v>
      </c>
      <c r="V74" s="9"/>
      <c r="W74" s="9">
        <f t="shared" si="36"/>
        <v>120290</v>
      </c>
      <c r="X74" s="10">
        <f t="shared" si="37"/>
        <v>200</v>
      </c>
      <c r="Y74" s="9"/>
      <c r="Z74" s="11"/>
      <c r="AA74" s="11">
        <f t="shared" si="38"/>
        <v>120090</v>
      </c>
    </row>
  </sheetData>
  <mergeCells count="2">
    <mergeCell ref="A1:L1"/>
    <mergeCell ref="P1:AA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Arrear</vt:lpstr>
      <vt:lpstr>ROPA-09</vt:lpstr>
      <vt:lpstr>ROPA-19</vt:lpstr>
      <vt:lpstr>'ROPA-09'!Print_Titles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 Mandal</dc:creator>
  <cp:lastModifiedBy>Ranjan Mandal</cp:lastModifiedBy>
  <cp:lastPrinted>2026-03-16T15:40:28Z</cp:lastPrinted>
  <dcterms:created xsi:type="dcterms:W3CDTF">2025-05-17T09:59:37Z</dcterms:created>
  <dcterms:modified xsi:type="dcterms:W3CDTF">2026-03-16T15:50:48Z</dcterms:modified>
</cp:coreProperties>
</file>